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.Văn phòng Tỉnh ủy\02.Khối kinh tế\01.Nông nghiệp\2026\01.BCTK NQ 03, 05 Đề án 04\"/>
    </mc:Choice>
  </mc:AlternateContent>
  <bookViews>
    <workbookView xWindow="0" yWindow="0" windowWidth="28800" windowHeight="12330" tabRatio="810" activeTab="6"/>
  </bookViews>
  <sheets>
    <sheet name="B3_Mac ca" sheetId="6" r:id="rId1"/>
    <sheet name="B4_Vung Che" sheetId="7" r:id="rId2"/>
    <sheet name="B5_Vung Lua" sheetId="8" r:id="rId3"/>
    <sheet name="B6_Vung CAQ" sheetId="9" r:id="rId4"/>
    <sheet name="B7_Vung Cay que" sheetId="10" r:id="rId5"/>
    <sheet name="B8_Vung cay go lon" sheetId="11" r:id="rId6"/>
    <sheet name="B9_Kinh phi" sheetId="13" r:id="rId7"/>
    <sheet name="Sheet1" sheetId="14" state="hidden" r:id="rId8"/>
  </sheets>
  <externalReferences>
    <externalReference r:id="rId9"/>
  </externalReferences>
  <definedNames>
    <definedName name="_xlnm.Print_Area" localSheetId="0">'B3_Mac ca'!$A$1:$O$19</definedName>
    <definedName name="_xlnm.Print_Area" localSheetId="1">'B4_Vung Che'!$A$1:$AK$28</definedName>
    <definedName name="_xlnm.Print_Area" localSheetId="2">'B5_Vung Lua'!$A$1:$AN$34</definedName>
    <definedName name="_xlnm.Print_Area" localSheetId="3">'B6_Vung CAQ'!$A$1:$AE$20</definedName>
    <definedName name="_xlnm.Print_Area" localSheetId="4">'B7_Vung Cay que'!$A$1:$AC$52</definedName>
    <definedName name="_xlnm.Print_Area" localSheetId="5">'B8_Vung cay go lon'!$A$1:$AH$46</definedName>
    <definedName name="_xlnm.Print_Area" localSheetId="6">'B9_Kinh phi'!$A$1:$Y$35</definedName>
    <definedName name="_xlnm.Print_Titles" localSheetId="1">'B4_Vung Che'!$3:$7</definedName>
    <definedName name="_xlnm.Print_Titles" localSheetId="2">'B5_Vung Lua'!$3:$7</definedName>
    <definedName name="_xlnm.Print_Titles" localSheetId="4">'B7_Vung Cay que'!$3:$7</definedName>
    <definedName name="_xlnm.Print_Titles" localSheetId="5">'B8_Vung cay go lon'!$3:$7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10" l="1"/>
  <c r="I40" i="11" l="1"/>
  <c r="AD20" i="9" l="1"/>
  <c r="AB20" i="9"/>
  <c r="AD15" i="9"/>
  <c r="AC15" i="9"/>
  <c r="Z15" i="9"/>
  <c r="AB15" i="9" l="1"/>
  <c r="F50" i="11"/>
  <c r="H50" i="11"/>
  <c r="V43" i="11" l="1"/>
  <c r="I46" i="11"/>
  <c r="V46" i="11" s="1"/>
  <c r="V40" i="11" l="1"/>
  <c r="AA13" i="7"/>
  <c r="X17" i="11" l="1"/>
  <c r="X11" i="11"/>
  <c r="S18" i="10" l="1"/>
  <c r="J6" i="13" l="1"/>
  <c r="J5" i="13" s="1"/>
  <c r="U16" i="9" l="1"/>
  <c r="U14" i="9" s="1"/>
  <c r="S34" i="10"/>
  <c r="Y17" i="11"/>
  <c r="Y11" i="11"/>
  <c r="Y18" i="9"/>
  <c r="Y16" i="9"/>
  <c r="Y11" i="9"/>
  <c r="Y10" i="9"/>
  <c r="W34" i="10"/>
  <c r="AB17" i="11"/>
  <c r="AB11" i="11"/>
  <c r="S36" i="10" l="1"/>
  <c r="Z34" i="10"/>
  <c r="V34" i="10"/>
  <c r="X20" i="9"/>
  <c r="AA16" i="11" l="1"/>
  <c r="AB16" i="11"/>
  <c r="AD16" i="11"/>
  <c r="AE16" i="11"/>
  <c r="AF16" i="11"/>
  <c r="T35" i="10"/>
  <c r="U35" i="10"/>
  <c r="V35" i="10"/>
  <c r="W35" i="10"/>
  <c r="X35" i="10"/>
  <c r="Y35" i="10"/>
  <c r="AA35" i="10"/>
  <c r="T33" i="10"/>
  <c r="U33" i="10"/>
  <c r="V33" i="10"/>
  <c r="W33" i="10"/>
  <c r="X33" i="10"/>
  <c r="Y33" i="10"/>
  <c r="Z33" i="10"/>
  <c r="AA33" i="10"/>
  <c r="T31" i="10"/>
  <c r="U31" i="10"/>
  <c r="V31" i="10"/>
  <c r="W31" i="10"/>
  <c r="X31" i="10"/>
  <c r="Z31" i="10"/>
  <c r="AA31" i="10"/>
  <c r="T29" i="10"/>
  <c r="U29" i="10"/>
  <c r="W29" i="10"/>
  <c r="X29" i="10"/>
  <c r="Y29" i="10"/>
  <c r="AA29" i="10"/>
  <c r="T27" i="10"/>
  <c r="U27" i="10"/>
  <c r="W27" i="10"/>
  <c r="X27" i="10"/>
  <c r="Y27" i="10"/>
  <c r="AA27" i="10"/>
  <c r="T25" i="10"/>
  <c r="U25" i="10"/>
  <c r="V25" i="10"/>
  <c r="W25" i="10"/>
  <c r="X25" i="10"/>
  <c r="Y25" i="10"/>
  <c r="Z25" i="10"/>
  <c r="AA25" i="10"/>
  <c r="T21" i="10"/>
  <c r="U21" i="10"/>
  <c r="V21" i="10"/>
  <c r="W21" i="10"/>
  <c r="X21" i="10"/>
  <c r="Y21" i="10"/>
  <c r="AA21" i="10"/>
  <c r="T19" i="10"/>
  <c r="U19" i="10"/>
  <c r="V19" i="10"/>
  <c r="W19" i="10"/>
  <c r="X19" i="10"/>
  <c r="Y19" i="10"/>
  <c r="AA19" i="10"/>
  <c r="T17" i="10"/>
  <c r="U17" i="10"/>
  <c r="V17" i="10"/>
  <c r="W17" i="10"/>
  <c r="Z17" i="10"/>
  <c r="AA17" i="10"/>
  <c r="T15" i="10"/>
  <c r="U15" i="10"/>
  <c r="W15" i="10"/>
  <c r="X15" i="10"/>
  <c r="Y15" i="10"/>
  <c r="AA15" i="10"/>
  <c r="AA12" i="10"/>
  <c r="T12" i="10"/>
  <c r="U12" i="10"/>
  <c r="W12" i="10"/>
  <c r="X12" i="10"/>
  <c r="Y12" i="10"/>
  <c r="T10" i="10"/>
  <c r="U10" i="10"/>
  <c r="V10" i="10"/>
  <c r="W10" i="10"/>
  <c r="X10" i="10"/>
  <c r="Y10" i="10"/>
  <c r="AA10" i="10"/>
  <c r="U19" i="9"/>
  <c r="V19" i="9"/>
  <c r="W19" i="9"/>
  <c r="X19" i="9"/>
  <c r="Y19" i="9"/>
  <c r="Z19" i="9"/>
  <c r="AA19" i="9"/>
  <c r="AB19" i="9"/>
  <c r="AC19" i="9"/>
  <c r="V17" i="9"/>
  <c r="X17" i="9"/>
  <c r="Y17" i="9"/>
  <c r="AB17" i="9"/>
  <c r="AC17" i="9"/>
  <c r="V14" i="9"/>
  <c r="W14" i="9"/>
  <c r="Y14" i="9"/>
  <c r="Z14" i="9"/>
  <c r="AA14" i="9"/>
  <c r="AC14" i="9"/>
  <c r="U12" i="9"/>
  <c r="V12" i="9"/>
  <c r="W12" i="9"/>
  <c r="Y12" i="9"/>
  <c r="Z12" i="9"/>
  <c r="AA12" i="9"/>
  <c r="AC12" i="9"/>
  <c r="U9" i="9"/>
  <c r="V9" i="9"/>
  <c r="W9" i="9"/>
  <c r="Y9" i="9"/>
  <c r="Z9" i="9"/>
  <c r="AA9" i="9"/>
  <c r="AC9" i="9"/>
  <c r="AE33" i="8"/>
  <c r="AF33" i="8"/>
  <c r="AG33" i="8"/>
  <c r="AH33" i="8"/>
  <c r="AI33" i="8"/>
  <c r="AJ33" i="8"/>
  <c r="AL33" i="8"/>
  <c r="AD31" i="8"/>
  <c r="AE31" i="8"/>
  <c r="AF31" i="8"/>
  <c r="AH31" i="8"/>
  <c r="AI31" i="8"/>
  <c r="AJ31" i="8"/>
  <c r="AL31" i="8"/>
  <c r="AD28" i="8"/>
  <c r="AE28" i="8"/>
  <c r="AF28" i="8"/>
  <c r="AH28" i="8"/>
  <c r="AI28" i="8"/>
  <c r="AJ28" i="8"/>
  <c r="AK28" i="8"/>
  <c r="AL28" i="8"/>
  <c r="AE25" i="8"/>
  <c r="AF25" i="8"/>
  <c r="AG25" i="8"/>
  <c r="AH25" i="8"/>
  <c r="AI25" i="8"/>
  <c r="AJ25" i="8"/>
  <c r="AL25" i="8"/>
  <c r="AE23" i="8"/>
  <c r="AF23" i="8"/>
  <c r="AG23" i="8"/>
  <c r="AH23" i="8"/>
  <c r="AI23" i="8"/>
  <c r="AJ23" i="8"/>
  <c r="AL23" i="8"/>
  <c r="AE21" i="8"/>
  <c r="AF21" i="8"/>
  <c r="AG21" i="8"/>
  <c r="AH21" i="8"/>
  <c r="AI21" i="8"/>
  <c r="AJ21" i="8"/>
  <c r="AL21" i="8"/>
  <c r="AD19" i="8"/>
  <c r="AE19" i="8"/>
  <c r="AF19" i="8"/>
  <c r="AH19" i="8"/>
  <c r="AI19" i="8"/>
  <c r="AJ19" i="8"/>
  <c r="AL19" i="8"/>
  <c r="AE17" i="8"/>
  <c r="AF17" i="8"/>
  <c r="AG17" i="8"/>
  <c r="AH17" i="8"/>
  <c r="AI17" i="8"/>
  <c r="AJ17" i="8"/>
  <c r="AL17" i="8"/>
  <c r="AM17" i="8"/>
  <c r="AD15" i="8"/>
  <c r="AE15" i="8"/>
  <c r="AF15" i="8"/>
  <c r="AH15" i="8"/>
  <c r="AI15" i="8"/>
  <c r="AJ15" i="8"/>
  <c r="AL15" i="8"/>
  <c r="AD13" i="8"/>
  <c r="AE13" i="8"/>
  <c r="AF13" i="8"/>
  <c r="AG13" i="8"/>
  <c r="AH13" i="8"/>
  <c r="AI13" i="8"/>
  <c r="AJ13" i="8"/>
  <c r="AL13" i="8"/>
  <c r="AC10" i="8"/>
  <c r="AE10" i="8"/>
  <c r="AF10" i="8"/>
  <c r="AG10" i="8"/>
  <c r="AH10" i="8"/>
  <c r="AI10" i="8"/>
  <c r="AJ10" i="8"/>
  <c r="AL10" i="8"/>
  <c r="U9" i="7"/>
  <c r="V9" i="7"/>
  <c r="W9" i="7"/>
  <c r="X9" i="7"/>
  <c r="Y9" i="7"/>
  <c r="Z9" i="7"/>
  <c r="AB9" i="7"/>
  <c r="AC9" i="7"/>
  <c r="AD9" i="7"/>
  <c r="AE9" i="7"/>
  <c r="AF9" i="7"/>
  <c r="AG9" i="7"/>
  <c r="AI9" i="7"/>
  <c r="U13" i="7"/>
  <c r="V13" i="7"/>
  <c r="W13" i="7"/>
  <c r="X13" i="7"/>
  <c r="Y13" i="7"/>
  <c r="Z13" i="7"/>
  <c r="AB13" i="7"/>
  <c r="AC13" i="7"/>
  <c r="AE13" i="7"/>
  <c r="AF13" i="7"/>
  <c r="AG13" i="7"/>
  <c r="AI13" i="7"/>
  <c r="U17" i="7"/>
  <c r="V17" i="7"/>
  <c r="W17" i="7"/>
  <c r="X17" i="7"/>
  <c r="Y17" i="7"/>
  <c r="Z17" i="7"/>
  <c r="AB17" i="7"/>
  <c r="AC17" i="7"/>
  <c r="AD17" i="7"/>
  <c r="AE17" i="7"/>
  <c r="AF17" i="7"/>
  <c r="AG17" i="7"/>
  <c r="AI17" i="7"/>
  <c r="U25" i="7"/>
  <c r="V25" i="7"/>
  <c r="W25" i="7"/>
  <c r="X25" i="7"/>
  <c r="Y25" i="7"/>
  <c r="Z25" i="7"/>
  <c r="AA25" i="7"/>
  <c r="AB25" i="7"/>
  <c r="AC25" i="7"/>
  <c r="AE25" i="7"/>
  <c r="AF25" i="7"/>
  <c r="AG25" i="7"/>
  <c r="AI25" i="7"/>
  <c r="V30" i="10"/>
  <c r="V29" i="10" s="1"/>
  <c r="Z30" i="10"/>
  <c r="Z29" i="10" s="1"/>
  <c r="S12" i="10"/>
  <c r="V16" i="10"/>
  <c r="V15" i="10" s="1"/>
  <c r="Z16" i="10"/>
  <c r="Z15" i="10" s="1"/>
  <c r="AD12" i="9"/>
  <c r="AB16" i="9"/>
  <c r="X16" i="9"/>
  <c r="X15" i="9"/>
  <c r="AK20" i="8"/>
  <c r="AK19" i="8" s="1"/>
  <c r="AG20" i="8"/>
  <c r="AG19" i="8" s="1"/>
  <c r="AH27" i="7"/>
  <c r="AH28" i="7"/>
  <c r="AH26" i="7"/>
  <c r="AD27" i="7"/>
  <c r="AD28" i="7"/>
  <c r="AD26" i="7"/>
  <c r="X14" i="9" l="1"/>
  <c r="AE9" i="8"/>
  <c r="AI27" i="8"/>
  <c r="AF27" i="8"/>
  <c r="AD25" i="7"/>
  <c r="AH25" i="7"/>
  <c r="AH9" i="8"/>
  <c r="AL27" i="8"/>
  <c r="AE27" i="8"/>
  <c r="AE8" i="8" s="1"/>
  <c r="AC8" i="9"/>
  <c r="AA24" i="10"/>
  <c r="AA23" i="10" s="1"/>
  <c r="U24" i="10"/>
  <c r="U23" i="10" s="1"/>
  <c r="W24" i="10"/>
  <c r="W23" i="10" s="1"/>
  <c r="AB14" i="9"/>
  <c r="AI9" i="8"/>
  <c r="AI8" i="8" s="1"/>
  <c r="W9" i="10"/>
  <c r="AI8" i="7"/>
  <c r="AE8" i="7"/>
  <c r="AJ27" i="8"/>
  <c r="U9" i="10"/>
  <c r="X24" i="10"/>
  <c r="X23" i="10" s="1"/>
  <c r="T24" i="10"/>
  <c r="T23" i="10" s="1"/>
  <c r="AA9" i="10"/>
  <c r="T9" i="10"/>
  <c r="V8" i="9"/>
  <c r="Y8" i="9"/>
  <c r="AH27" i="8"/>
  <c r="AL9" i="8"/>
  <c r="AL8" i="8" s="1"/>
  <c r="AJ9" i="8"/>
  <c r="AF9" i="8"/>
  <c r="Y13" i="11"/>
  <c r="AE13" i="11"/>
  <c r="V28" i="10"/>
  <c r="V27" i="10" s="1"/>
  <c r="V24" i="10" s="1"/>
  <c r="V23" i="10" s="1"/>
  <c r="Z28" i="10"/>
  <c r="Z27" i="10" s="1"/>
  <c r="Z14" i="10"/>
  <c r="Z13" i="10"/>
  <c r="V14" i="10"/>
  <c r="V13" i="10"/>
  <c r="AB11" i="9"/>
  <c r="AB10" i="9"/>
  <c r="X11" i="9"/>
  <c r="X10" i="9"/>
  <c r="AG30" i="8"/>
  <c r="AG28" i="8" s="1"/>
  <c r="AG32" i="8"/>
  <c r="AG31" i="8" s="1"/>
  <c r="AK32" i="8"/>
  <c r="AK31" i="8" s="1"/>
  <c r="AK14" i="8"/>
  <c r="AK13" i="8" s="1"/>
  <c r="AH16" i="7"/>
  <c r="AH15" i="7"/>
  <c r="AD16" i="7"/>
  <c r="AD15" i="7"/>
  <c r="AF8" i="8" l="1"/>
  <c r="AA8" i="10"/>
  <c r="W8" i="10"/>
  <c r="U8" i="10"/>
  <c r="AJ8" i="8"/>
  <c r="AD13" i="7"/>
  <c r="V12" i="10"/>
  <c r="V9" i="10" s="1"/>
  <c r="V8" i="10" s="1"/>
  <c r="AH8" i="8"/>
  <c r="AG27" i="8"/>
  <c r="X9" i="9"/>
  <c r="AH13" i="7"/>
  <c r="AB9" i="9"/>
  <c r="Z12" i="10"/>
  <c r="T8" i="10"/>
  <c r="Z12" i="11"/>
  <c r="AA12" i="11"/>
  <c r="AB12" i="11"/>
  <c r="AC12" i="11"/>
  <c r="AD12" i="11"/>
  <c r="AE12" i="11"/>
  <c r="AF12" i="11"/>
  <c r="Z10" i="11"/>
  <c r="AA10" i="11"/>
  <c r="AB10" i="11"/>
  <c r="AC10" i="11"/>
  <c r="AD10" i="11"/>
  <c r="AE10" i="11"/>
  <c r="AF10" i="11"/>
  <c r="AH11" i="7"/>
  <c r="AH12" i="7"/>
  <c r="AH10" i="7"/>
  <c r="AD9" i="11" l="1"/>
  <c r="AD8" i="11" s="1"/>
  <c r="AH9" i="7"/>
  <c r="AE9" i="11"/>
  <c r="AE8" i="11" s="1"/>
  <c r="AA9" i="11"/>
  <c r="AA8" i="11" s="1"/>
  <c r="AF9" i="11"/>
  <c r="AF8" i="11" s="1"/>
  <c r="AB9" i="11"/>
  <c r="AB8" i="11" s="1"/>
  <c r="X13" i="9"/>
  <c r="X12" i="9" s="1"/>
  <c r="X8" i="9" s="1"/>
  <c r="AB13" i="9" l="1"/>
  <c r="AB12" i="9" s="1"/>
  <c r="AB8" i="9" s="1"/>
  <c r="AK22" i="8"/>
  <c r="AK21" i="8" s="1"/>
  <c r="AD22" i="8"/>
  <c r="AD21" i="8" s="1"/>
  <c r="W22" i="8"/>
  <c r="AG16" i="8"/>
  <c r="AG15" i="8" s="1"/>
  <c r="AG9" i="8" s="1"/>
  <c r="AG8" i="8" s="1"/>
  <c r="AK16" i="8"/>
  <c r="AK15" i="8" s="1"/>
  <c r="AM22" i="8" l="1"/>
  <c r="AM21" i="8" s="1"/>
  <c r="AC17" i="11"/>
  <c r="AC16" i="11" s="1"/>
  <c r="AC9" i="11" s="1"/>
  <c r="AC8" i="11" s="1"/>
  <c r="Z16" i="11"/>
  <c r="Z9" i="11" s="1"/>
  <c r="Z8" i="11" s="1"/>
  <c r="Y31" i="10"/>
  <c r="Y24" i="10" s="1"/>
  <c r="Y23" i="10" s="1"/>
  <c r="Y18" i="10"/>
  <c r="Y17" i="10" s="1"/>
  <c r="Y9" i="10" s="1"/>
  <c r="X17" i="10"/>
  <c r="X9" i="10" s="1"/>
  <c r="X8" i="10" s="1"/>
  <c r="AA18" i="9"/>
  <c r="W18" i="9"/>
  <c r="Y8" i="10" l="1"/>
  <c r="U18" i="9"/>
  <c r="U17" i="9" s="1"/>
  <c r="U8" i="9" s="1"/>
  <c r="W17" i="9"/>
  <c r="W8" i="9" s="1"/>
  <c r="Z18" i="9"/>
  <c r="Z17" i="9" s="1"/>
  <c r="Z8" i="9" s="1"/>
  <c r="AA17" i="9"/>
  <c r="AA8" i="9" s="1"/>
  <c r="N10" i="6"/>
  <c r="N8" i="6"/>
  <c r="H8" i="6"/>
  <c r="Y10" i="13"/>
  <c r="W8" i="11"/>
  <c r="N7" i="6" l="1"/>
  <c r="Z20" i="10"/>
  <c r="Z19" i="10" s="1"/>
  <c r="AK24" i="8"/>
  <c r="AK23" i="8" s="1"/>
  <c r="I5" i="14" l="1"/>
  <c r="I4" i="14"/>
  <c r="K4" i="14" s="1"/>
  <c r="G6" i="14" l="1"/>
  <c r="G5" i="14"/>
  <c r="E5" i="14"/>
  <c r="L4" i="14" l="1"/>
  <c r="Z36" i="10"/>
  <c r="Z35" i="10" s="1"/>
  <c r="Z24" i="10" s="1"/>
  <c r="Z23" i="10" s="1"/>
  <c r="Z22" i="10"/>
  <c r="Z21" i="10" s="1"/>
  <c r="AK26" i="8"/>
  <c r="AK25" i="8" s="1"/>
  <c r="W12" i="13" l="1"/>
  <c r="V14" i="13"/>
  <c r="V13" i="13"/>
  <c r="V12" i="13"/>
  <c r="U12" i="13"/>
  <c r="T14" i="13"/>
  <c r="T13" i="13"/>
  <c r="T12" i="13"/>
  <c r="U13" i="13"/>
  <c r="Z11" i="10" l="1"/>
  <c r="Z10" i="10" s="1"/>
  <c r="Z9" i="10" s="1"/>
  <c r="Z8" i="10" s="1"/>
  <c r="W7" i="13"/>
  <c r="W8" i="13"/>
  <c r="S8" i="13"/>
  <c r="V8" i="13" l="1"/>
  <c r="U8" i="13"/>
  <c r="V7" i="13"/>
  <c r="U9" i="13"/>
  <c r="U11" i="13"/>
  <c r="T8" i="13"/>
  <c r="T9" i="13"/>
  <c r="T10" i="13"/>
  <c r="AK34" i="8"/>
  <c r="AK33" i="8" s="1"/>
  <c r="AK27" i="8" s="1"/>
  <c r="S7" i="13"/>
  <c r="S9" i="13"/>
  <c r="AF23" i="7"/>
  <c r="AG23" i="7"/>
  <c r="AG8" i="7" s="1"/>
  <c r="S11" i="13"/>
  <c r="AK18" i="8"/>
  <c r="AK17" i="8" s="1"/>
  <c r="AH24" i="7"/>
  <c r="S10" i="13" l="1"/>
  <c r="AF8" i="7"/>
  <c r="T11" i="13"/>
  <c r="T7" i="13"/>
  <c r="V11" i="13"/>
  <c r="AH22" i="7"/>
  <c r="AH21" i="7"/>
  <c r="AH20" i="7"/>
  <c r="AH17" i="7" s="1"/>
  <c r="AD23" i="7"/>
  <c r="AD8" i="7" s="1"/>
  <c r="AD34" i="8"/>
  <c r="AD33" i="8" s="1"/>
  <c r="AD27" i="8" s="1"/>
  <c r="AD26" i="8"/>
  <c r="AD25" i="8" s="1"/>
  <c r="AD23" i="8"/>
  <c r="AM20" i="8"/>
  <c r="AM19" i="8" s="1"/>
  <c r="AD18" i="8"/>
  <c r="AD17" i="8" s="1"/>
  <c r="AD12" i="8"/>
  <c r="AD10" i="8" s="1"/>
  <c r="AK12" i="8"/>
  <c r="AK10" i="8" s="1"/>
  <c r="AK9" i="8" s="1"/>
  <c r="AK8" i="8" s="1"/>
  <c r="AD9" i="8" l="1"/>
  <c r="AD8" i="8" s="1"/>
  <c r="AA24" i="7"/>
  <c r="AA22" i="7"/>
  <c r="AA21" i="7"/>
  <c r="AA20" i="7"/>
  <c r="AA10" i="7"/>
  <c r="AA9" i="7" s="1"/>
  <c r="AA17" i="7" l="1"/>
  <c r="Q15" i="10"/>
  <c r="Q9" i="10" s="1"/>
  <c r="Q8" i="10" s="1"/>
  <c r="S19" i="9" l="1"/>
  <c r="S17" i="9"/>
  <c r="S9" i="9"/>
  <c r="AB33" i="8"/>
  <c r="AB28" i="8"/>
  <c r="AB25" i="8"/>
  <c r="AB23" i="8"/>
  <c r="AB21" i="8"/>
  <c r="AB19" i="8"/>
  <c r="AB17" i="8"/>
  <c r="AB10" i="8"/>
  <c r="AB27" i="8" l="1"/>
  <c r="AB13" i="8"/>
  <c r="Y23" i="7" l="1"/>
  <c r="Y8" i="7" s="1"/>
  <c r="AB15" i="8" l="1"/>
  <c r="AB9" i="8" s="1"/>
  <c r="AB8" i="8" s="1"/>
  <c r="AA15" i="8"/>
  <c r="S14" i="9"/>
  <c r="S8" i="9" s="1"/>
  <c r="AG14" i="11" l="1"/>
  <c r="R19" i="10"/>
  <c r="E35" i="13" l="1"/>
  <c r="E24" i="13" s="1"/>
  <c r="D35" i="13"/>
  <c r="D24" i="13" s="1"/>
  <c r="H34" i="13"/>
  <c r="G34" i="13"/>
  <c r="C34" i="13"/>
  <c r="G33" i="13"/>
  <c r="I33" i="13" s="1"/>
  <c r="H32" i="13"/>
  <c r="G32" i="13"/>
  <c r="C32" i="13"/>
  <c r="G31" i="13"/>
  <c r="C31" i="13"/>
  <c r="H28" i="13"/>
  <c r="C28" i="13"/>
  <c r="H27" i="13"/>
  <c r="C27" i="13"/>
  <c r="I27" i="13" s="1"/>
  <c r="H26" i="13"/>
  <c r="G26" i="13"/>
  <c r="C26" i="13"/>
  <c r="D18" i="13"/>
  <c r="I18" i="13" s="1"/>
  <c r="Y18" i="13" s="1"/>
  <c r="D17" i="13"/>
  <c r="I17" i="13" s="1"/>
  <c r="Y17" i="13" s="1"/>
  <c r="E16" i="13"/>
  <c r="I16" i="13" s="1"/>
  <c r="Y16" i="13" s="1"/>
  <c r="Y15" i="13" l="1"/>
  <c r="I26" i="13"/>
  <c r="H25" i="13"/>
  <c r="H24" i="13" s="1"/>
  <c r="G6" i="13"/>
  <c r="E6" i="13"/>
  <c r="E15" i="13"/>
  <c r="C25" i="13"/>
  <c r="C24" i="13" s="1"/>
  <c r="C5" i="13" s="1"/>
  <c r="F6" i="13"/>
  <c r="F5" i="13" s="1"/>
  <c r="G25" i="13"/>
  <c r="G24" i="13" s="1"/>
  <c r="H6" i="13"/>
  <c r="D6" i="13"/>
  <c r="I15" i="13"/>
  <c r="I28" i="13"/>
  <c r="I31" i="13"/>
  <c r="I34" i="13"/>
  <c r="I35" i="13"/>
  <c r="I32" i="13"/>
  <c r="D15" i="13"/>
  <c r="H5" i="13" l="1"/>
  <c r="G5" i="13"/>
  <c r="E5" i="13"/>
  <c r="I6" i="13"/>
  <c r="D5" i="13"/>
  <c r="I25" i="13"/>
  <c r="I24" i="13" s="1"/>
  <c r="I5" i="13" l="1"/>
  <c r="I16" i="11"/>
  <c r="U18" i="11"/>
  <c r="T19" i="11"/>
  <c r="T18" i="11" s="1"/>
  <c r="U20" i="11"/>
  <c r="V37" i="11"/>
  <c r="U37" i="11"/>
  <c r="V33" i="11"/>
  <c r="U33" i="11"/>
  <c r="V31" i="11"/>
  <c r="U31" i="11"/>
  <c r="V27" i="11"/>
  <c r="U27" i="11"/>
  <c r="V23" i="11"/>
  <c r="U23" i="11"/>
  <c r="H37" i="11"/>
  <c r="H33" i="11"/>
  <c r="H31" i="11"/>
  <c r="H27" i="11"/>
  <c r="H23" i="11"/>
  <c r="H20" i="11"/>
  <c r="H18" i="11"/>
  <c r="H16" i="11"/>
  <c r="H14" i="11"/>
  <c r="I12" i="11"/>
  <c r="H12" i="11"/>
  <c r="X16" i="11"/>
  <c r="U16" i="11"/>
  <c r="X14" i="11"/>
  <c r="U14" i="11"/>
  <c r="X10" i="11"/>
  <c r="U10" i="11"/>
  <c r="I10" i="11"/>
  <c r="I9" i="11" s="1"/>
  <c r="I8" i="11" s="1"/>
  <c r="H10" i="11"/>
  <c r="S25" i="10"/>
  <c r="R25" i="10"/>
  <c r="O25" i="10"/>
  <c r="S10" i="10"/>
  <c r="R10" i="10"/>
  <c r="O10" i="10"/>
  <c r="R12" i="10"/>
  <c r="O12" i="10"/>
  <c r="S15" i="10"/>
  <c r="R15" i="10"/>
  <c r="O15" i="10"/>
  <c r="S17" i="10"/>
  <c r="R17" i="10"/>
  <c r="O17" i="10"/>
  <c r="S19" i="10"/>
  <c r="O19" i="10"/>
  <c r="S21" i="10"/>
  <c r="R21" i="10"/>
  <c r="O21" i="10"/>
  <c r="S27" i="10"/>
  <c r="O8" i="13" s="1"/>
  <c r="R27" i="10"/>
  <c r="O27" i="10"/>
  <c r="S29" i="10"/>
  <c r="R29" i="10"/>
  <c r="O29" i="10"/>
  <c r="S31" i="10"/>
  <c r="O12" i="13" s="1"/>
  <c r="R31" i="10"/>
  <c r="O31" i="10"/>
  <c r="S33" i="10"/>
  <c r="R33" i="10"/>
  <c r="O33" i="10"/>
  <c r="N33" i="10"/>
  <c r="S35" i="10"/>
  <c r="R35" i="10"/>
  <c r="O35" i="10"/>
  <c r="P48" i="10"/>
  <c r="O48" i="10"/>
  <c r="P46" i="10"/>
  <c r="O46" i="10"/>
  <c r="P43" i="10"/>
  <c r="O43" i="10"/>
  <c r="P41" i="10"/>
  <c r="O41" i="10"/>
  <c r="P38" i="10"/>
  <c r="O38" i="10"/>
  <c r="N51" i="10"/>
  <c r="N50" i="10"/>
  <c r="N49" i="10"/>
  <c r="N47" i="10"/>
  <c r="N46" i="10" s="1"/>
  <c r="N45" i="10"/>
  <c r="N44" i="10"/>
  <c r="N42" i="10"/>
  <c r="N41" i="10" s="1"/>
  <c r="N40" i="10"/>
  <c r="N36" i="10"/>
  <c r="N35" i="10" s="1"/>
  <c r="N39" i="10"/>
  <c r="N31" i="10"/>
  <c r="N30" i="10"/>
  <c r="N29" i="10" s="1"/>
  <c r="N28" i="10"/>
  <c r="N27" i="10" s="1"/>
  <c r="N26" i="10"/>
  <c r="N25" i="10" s="1"/>
  <c r="N22" i="10"/>
  <c r="N21" i="10" s="1"/>
  <c r="N20" i="10"/>
  <c r="N19" i="10" s="1"/>
  <c r="N18" i="10"/>
  <c r="N17" i="10" s="1"/>
  <c r="N16" i="10"/>
  <c r="N15" i="10" s="1"/>
  <c r="N14" i="10"/>
  <c r="N13" i="10"/>
  <c r="N11" i="10"/>
  <c r="N10" i="10" s="1"/>
  <c r="J48" i="10"/>
  <c r="J46" i="10"/>
  <c r="J43" i="10"/>
  <c r="J41" i="10"/>
  <c r="J38" i="10"/>
  <c r="K35" i="10"/>
  <c r="J35" i="10"/>
  <c r="K33" i="10"/>
  <c r="J33" i="10"/>
  <c r="K31" i="10"/>
  <c r="J31" i="10"/>
  <c r="K29" i="10"/>
  <c r="J29" i="10"/>
  <c r="K27" i="10"/>
  <c r="J27" i="10"/>
  <c r="K25" i="10"/>
  <c r="J25" i="10"/>
  <c r="K21" i="10"/>
  <c r="J21" i="10"/>
  <c r="K19" i="10"/>
  <c r="J19" i="10"/>
  <c r="K17" i="10"/>
  <c r="J17" i="10"/>
  <c r="K15" i="10"/>
  <c r="J15" i="10"/>
  <c r="K12" i="10"/>
  <c r="J12" i="10"/>
  <c r="K10" i="10"/>
  <c r="J10" i="10"/>
  <c r="N9" i="13"/>
  <c r="T12" i="9"/>
  <c r="O12" i="9"/>
  <c r="N11" i="13"/>
  <c r="T14" i="9"/>
  <c r="O14" i="9"/>
  <c r="N12" i="13"/>
  <c r="T17" i="9"/>
  <c r="O17" i="9"/>
  <c r="N13" i="13"/>
  <c r="T19" i="9"/>
  <c r="O19" i="9"/>
  <c r="AD18" i="9"/>
  <c r="N8" i="13"/>
  <c r="T9" i="9"/>
  <c r="O9" i="9"/>
  <c r="K9" i="9"/>
  <c r="K12" i="9"/>
  <c r="K14" i="9"/>
  <c r="K17" i="9"/>
  <c r="K19" i="9"/>
  <c r="J19" i="9"/>
  <c r="J17" i="9"/>
  <c r="J14" i="9"/>
  <c r="J12" i="9"/>
  <c r="J9" i="9"/>
  <c r="AM29" i="8"/>
  <c r="AM11" i="8"/>
  <c r="U27" i="8"/>
  <c r="V27" i="8"/>
  <c r="X33" i="8"/>
  <c r="AC33" i="8"/>
  <c r="X31" i="8"/>
  <c r="AC31" i="8"/>
  <c r="X28" i="8"/>
  <c r="Y28" i="8"/>
  <c r="Y27" i="8" s="1"/>
  <c r="AA28" i="8"/>
  <c r="AA27" i="8" s="1"/>
  <c r="AC28" i="8"/>
  <c r="X25" i="8"/>
  <c r="AA25" i="8"/>
  <c r="AC25" i="8"/>
  <c r="M14" i="13"/>
  <c r="X23" i="8"/>
  <c r="AA23" i="8"/>
  <c r="AC23" i="8"/>
  <c r="M13" i="13"/>
  <c r="X21" i="8"/>
  <c r="AA21" i="8"/>
  <c r="AC21" i="8"/>
  <c r="M12" i="13"/>
  <c r="X17" i="8"/>
  <c r="AA17" i="8"/>
  <c r="AC17" i="8"/>
  <c r="M10" i="13"/>
  <c r="X19" i="8"/>
  <c r="AA19" i="8"/>
  <c r="AC19" i="8"/>
  <c r="X15" i="8"/>
  <c r="AC15" i="8"/>
  <c r="M9" i="13"/>
  <c r="X13" i="8"/>
  <c r="AA13" i="8"/>
  <c r="AC13" i="8"/>
  <c r="M8" i="13"/>
  <c r="AA10" i="8"/>
  <c r="M7" i="13"/>
  <c r="Y10" i="8"/>
  <c r="Y9" i="8" s="1"/>
  <c r="X10" i="8"/>
  <c r="D25" i="8"/>
  <c r="E25" i="8"/>
  <c r="D23" i="8"/>
  <c r="E23" i="8"/>
  <c r="D21" i="8"/>
  <c r="E21" i="8"/>
  <c r="D19" i="8"/>
  <c r="E19" i="8"/>
  <c r="D17" i="8"/>
  <c r="E17" i="8"/>
  <c r="E10" i="8"/>
  <c r="E13" i="8"/>
  <c r="E15" i="8"/>
  <c r="D15" i="8"/>
  <c r="D13" i="8"/>
  <c r="D10" i="8"/>
  <c r="P15" i="8"/>
  <c r="R15" i="8"/>
  <c r="R10" i="8"/>
  <c r="P10" i="8"/>
  <c r="R13" i="8"/>
  <c r="P13" i="8"/>
  <c r="R17" i="8"/>
  <c r="P17" i="8"/>
  <c r="R19" i="8"/>
  <c r="P19" i="8"/>
  <c r="R21" i="8"/>
  <c r="Q21" i="8"/>
  <c r="Q9" i="8" s="1"/>
  <c r="Q8" i="8" s="1"/>
  <c r="P21" i="8"/>
  <c r="R23" i="8"/>
  <c r="P23" i="8"/>
  <c r="R25" i="8"/>
  <c r="P25" i="8"/>
  <c r="T28" i="8"/>
  <c r="T27" i="8" s="1"/>
  <c r="T8" i="8" s="1"/>
  <c r="O28" i="8"/>
  <c r="O27" i="8" s="1"/>
  <c r="O8" i="8" s="1"/>
  <c r="S31" i="8"/>
  <c r="S33" i="8"/>
  <c r="M10" i="8"/>
  <c r="L10" i="8"/>
  <c r="K10" i="8"/>
  <c r="M13" i="8"/>
  <c r="K13" i="8"/>
  <c r="M15" i="8"/>
  <c r="K15" i="8"/>
  <c r="M17" i="8"/>
  <c r="K17" i="8"/>
  <c r="M19" i="8"/>
  <c r="K19" i="8"/>
  <c r="M21" i="8"/>
  <c r="L21" i="8"/>
  <c r="K21" i="8"/>
  <c r="M23" i="8"/>
  <c r="K23" i="8"/>
  <c r="M25" i="8"/>
  <c r="K25" i="8"/>
  <c r="N31" i="8"/>
  <c r="N33" i="8"/>
  <c r="AM34" i="8"/>
  <c r="AM33" i="8" s="1"/>
  <c r="W34" i="8"/>
  <c r="W33" i="8" s="1"/>
  <c r="AM32" i="8"/>
  <c r="AM31" i="8" s="1"/>
  <c r="W32" i="8"/>
  <c r="W31" i="8" s="1"/>
  <c r="AM30" i="8"/>
  <c r="W30" i="8"/>
  <c r="W29" i="8"/>
  <c r="P17" i="7"/>
  <c r="O17" i="7"/>
  <c r="AJ14" i="7"/>
  <c r="AJ18" i="7"/>
  <c r="AJ19" i="7"/>
  <c r="L11" i="13"/>
  <c r="U23" i="7"/>
  <c r="U8" i="7" s="1"/>
  <c r="V23" i="7"/>
  <c r="V8" i="7" s="1"/>
  <c r="W23" i="7"/>
  <c r="W8" i="7" s="1"/>
  <c r="X23" i="7"/>
  <c r="X8" i="7" s="1"/>
  <c r="Z23" i="7"/>
  <c r="Z8" i="7" s="1"/>
  <c r="AA23" i="7"/>
  <c r="AB23" i="7"/>
  <c r="AB8" i="7" s="1"/>
  <c r="AC23" i="7"/>
  <c r="AC8" i="7" s="1"/>
  <c r="AH23" i="7"/>
  <c r="AH8" i="7" s="1"/>
  <c r="AJ23" i="7"/>
  <c r="L9" i="13"/>
  <c r="L8" i="13"/>
  <c r="L7" i="13"/>
  <c r="P25" i="7"/>
  <c r="O25" i="7"/>
  <c r="N25" i="7"/>
  <c r="L25" i="7"/>
  <c r="K25" i="7"/>
  <c r="J25" i="7"/>
  <c r="Q23" i="7"/>
  <c r="Q8" i="7" s="1"/>
  <c r="M23" i="7"/>
  <c r="M8" i="7" s="1"/>
  <c r="L17" i="7"/>
  <c r="K17" i="7"/>
  <c r="O13" i="7"/>
  <c r="K13" i="7"/>
  <c r="N9" i="7"/>
  <c r="N8" i="7" s="1"/>
  <c r="P9" i="7"/>
  <c r="P8" i="7" s="1"/>
  <c r="L9" i="7"/>
  <c r="J9" i="7"/>
  <c r="J19" i="6"/>
  <c r="J18" i="6" s="1"/>
  <c r="J17" i="6"/>
  <c r="J16" i="6" s="1"/>
  <c r="J15" i="6"/>
  <c r="J14" i="6" s="1"/>
  <c r="J13" i="6"/>
  <c r="J12" i="6" s="1"/>
  <c r="J11" i="6"/>
  <c r="J10" i="6" s="1"/>
  <c r="J9" i="6"/>
  <c r="J8" i="6" s="1"/>
  <c r="L8" i="6"/>
  <c r="H10" i="6"/>
  <c r="L10" i="6"/>
  <c r="H12" i="6"/>
  <c r="L12" i="6"/>
  <c r="H14" i="6"/>
  <c r="L14" i="6"/>
  <c r="H16" i="6"/>
  <c r="L16" i="6"/>
  <c r="H18" i="6"/>
  <c r="L18" i="6"/>
  <c r="T39" i="11"/>
  <c r="T36" i="11"/>
  <c r="T35" i="11"/>
  <c r="T34" i="11"/>
  <c r="T32" i="11"/>
  <c r="T31" i="11" s="1"/>
  <c r="T30" i="11"/>
  <c r="T29" i="11"/>
  <c r="T28" i="11"/>
  <c r="T26" i="11"/>
  <c r="T25" i="11"/>
  <c r="T24" i="11"/>
  <c r="T21" i="11"/>
  <c r="T20" i="11" s="1"/>
  <c r="T17" i="11"/>
  <c r="T16" i="11" s="1"/>
  <c r="T15" i="11"/>
  <c r="T14" i="11" s="1"/>
  <c r="AG12" i="11"/>
  <c r="T11" i="11"/>
  <c r="AB35" i="10"/>
  <c r="AB33" i="10"/>
  <c r="AB31" i="10"/>
  <c r="AB30" i="10"/>
  <c r="AB29" i="10" s="1"/>
  <c r="AB28" i="10"/>
  <c r="AB27" i="10" s="1"/>
  <c r="AB26" i="10"/>
  <c r="AB25" i="10" s="1"/>
  <c r="AB22" i="10"/>
  <c r="AB20" i="10"/>
  <c r="AB19" i="10" s="1"/>
  <c r="AB17" i="10"/>
  <c r="AB16" i="10"/>
  <c r="AB15" i="10" s="1"/>
  <c r="AB14" i="10"/>
  <c r="AB13" i="10"/>
  <c r="AB10" i="10"/>
  <c r="AD19" i="9"/>
  <c r="N20" i="9"/>
  <c r="N19" i="9" s="1"/>
  <c r="N18" i="9"/>
  <c r="N17" i="9" s="1"/>
  <c r="AD16" i="9"/>
  <c r="N16" i="9"/>
  <c r="N15" i="9"/>
  <c r="N13" i="9"/>
  <c r="N12" i="9" s="1"/>
  <c r="AD11" i="9"/>
  <c r="N11" i="9"/>
  <c r="AD10" i="9"/>
  <c r="N10" i="9"/>
  <c r="AM26" i="8"/>
  <c r="AM25" i="8" s="1"/>
  <c r="W26" i="8"/>
  <c r="W25" i="8" s="1"/>
  <c r="AM24" i="8"/>
  <c r="AM23" i="8" s="1"/>
  <c r="W24" i="8"/>
  <c r="W23" i="8" s="1"/>
  <c r="W21" i="8"/>
  <c r="W20" i="8"/>
  <c r="W19" i="8" s="1"/>
  <c r="W18" i="8"/>
  <c r="W17" i="8" s="1"/>
  <c r="AM16" i="8"/>
  <c r="AM15" i="8" s="1"/>
  <c r="W16" i="8"/>
  <c r="W15" i="8" s="1"/>
  <c r="AM14" i="8"/>
  <c r="AM13" i="8" s="1"/>
  <c r="W14" i="8"/>
  <c r="W13" i="8" s="1"/>
  <c r="W12" i="8"/>
  <c r="W11" i="8"/>
  <c r="AJ28" i="7"/>
  <c r="T28" i="7"/>
  <c r="AJ27" i="7"/>
  <c r="T27" i="7"/>
  <c r="AJ26" i="7"/>
  <c r="T26" i="7"/>
  <c r="T24" i="7"/>
  <c r="T23" i="7" s="1"/>
  <c r="AJ22" i="7"/>
  <c r="T22" i="7"/>
  <c r="AJ21" i="7"/>
  <c r="T21" i="7"/>
  <c r="AJ20" i="7"/>
  <c r="T20" i="7"/>
  <c r="T19" i="7"/>
  <c r="T18" i="7"/>
  <c r="AJ16" i="7"/>
  <c r="T16" i="7"/>
  <c r="AJ15" i="7"/>
  <c r="T15" i="7"/>
  <c r="T14" i="7"/>
  <c r="T12" i="7"/>
  <c r="AJ11" i="7"/>
  <c r="T11" i="7"/>
  <c r="T10" i="7"/>
  <c r="AB12" i="10" l="1"/>
  <c r="Q9" i="13"/>
  <c r="N14" i="9"/>
  <c r="T10" i="11"/>
  <c r="T13" i="11"/>
  <c r="K8" i="9"/>
  <c r="O7" i="13"/>
  <c r="O14" i="13"/>
  <c r="Q14" i="13" s="1"/>
  <c r="O13" i="13"/>
  <c r="Q13" i="13" s="1"/>
  <c r="O11" i="13"/>
  <c r="S27" i="8"/>
  <c r="S8" i="8" s="1"/>
  <c r="J24" i="10"/>
  <c r="J23" i="10" s="1"/>
  <c r="J8" i="7"/>
  <c r="K8" i="7"/>
  <c r="L10" i="13"/>
  <c r="AA8" i="7"/>
  <c r="AJ17" i="7"/>
  <c r="O8" i="9"/>
  <c r="AJ25" i="7"/>
  <c r="L8" i="7"/>
  <c r="AJ13" i="7"/>
  <c r="AC9" i="8"/>
  <c r="AM28" i="8"/>
  <c r="AM27" i="8" s="1"/>
  <c r="T9" i="7"/>
  <c r="T13" i="7"/>
  <c r="W10" i="8"/>
  <c r="N12" i="10"/>
  <c r="N9" i="10" s="1"/>
  <c r="T8" i="9"/>
  <c r="T17" i="7"/>
  <c r="N9" i="9"/>
  <c r="N8" i="9" s="1"/>
  <c r="N27" i="8"/>
  <c r="N8" i="8" s="1"/>
  <c r="AC27" i="8"/>
  <c r="J8" i="9"/>
  <c r="T25" i="7"/>
  <c r="D9" i="8"/>
  <c r="H7" i="6"/>
  <c r="P9" i="8"/>
  <c r="P8" i="8" s="1"/>
  <c r="O9" i="10"/>
  <c r="W9" i="8"/>
  <c r="AG10" i="11"/>
  <c r="Y7" i="13"/>
  <c r="R9" i="8"/>
  <c r="R8" i="8" s="1"/>
  <c r="E9" i="8"/>
  <c r="J9" i="10"/>
  <c r="V22" i="11"/>
  <c r="V8" i="11" s="1"/>
  <c r="AD9" i="9"/>
  <c r="Y8" i="13"/>
  <c r="W28" i="8"/>
  <c r="W27" i="8" s="1"/>
  <c r="W8" i="8" s="1"/>
  <c r="AD17" i="9"/>
  <c r="J37" i="10"/>
  <c r="N38" i="10"/>
  <c r="N48" i="10"/>
  <c r="O24" i="10"/>
  <c r="AA9" i="8"/>
  <c r="AA8" i="8" s="1"/>
  <c r="Y13" i="13"/>
  <c r="L9" i="8"/>
  <c r="L8" i="8" s="1"/>
  <c r="P37" i="10"/>
  <c r="P23" i="10" s="1"/>
  <c r="P8" i="10" s="1"/>
  <c r="AD14" i="9"/>
  <c r="Y11" i="13"/>
  <c r="Y9" i="13"/>
  <c r="O8" i="7"/>
  <c r="K24" i="10"/>
  <c r="K23" i="10" s="1"/>
  <c r="N43" i="10"/>
  <c r="O37" i="10"/>
  <c r="AB21" i="10"/>
  <c r="AB9" i="10" s="1"/>
  <c r="Y14" i="13"/>
  <c r="K9" i="10"/>
  <c r="N24" i="10"/>
  <c r="R23" i="10"/>
  <c r="R9" i="10"/>
  <c r="M11" i="13"/>
  <c r="M6" i="13" s="1"/>
  <c r="M5" i="13" s="1"/>
  <c r="S24" i="10"/>
  <c r="S23" i="10" s="1"/>
  <c r="AB24" i="10"/>
  <c r="AB23" i="10" s="1"/>
  <c r="N6" i="13"/>
  <c r="N5" i="13" s="1"/>
  <c r="X13" i="13"/>
  <c r="Y16" i="11"/>
  <c r="P12" i="13" s="1"/>
  <c r="AG16" i="11"/>
  <c r="T23" i="11"/>
  <c r="T27" i="11"/>
  <c r="T33" i="11"/>
  <c r="Y10" i="11"/>
  <c r="P7" i="13" s="1"/>
  <c r="U22" i="11"/>
  <c r="W6" i="13"/>
  <c r="W5" i="13" s="1"/>
  <c r="H9" i="11"/>
  <c r="H22" i="11"/>
  <c r="S9" i="10"/>
  <c r="X9" i="8"/>
  <c r="X27" i="8"/>
  <c r="X9" i="13"/>
  <c r="Q10" i="13"/>
  <c r="X14" i="13"/>
  <c r="V6" i="13"/>
  <c r="V5" i="13" s="1"/>
  <c r="X11" i="13"/>
  <c r="X12" i="13"/>
  <c r="U6" i="13"/>
  <c r="U5" i="13" s="1"/>
  <c r="X8" i="13"/>
  <c r="X10" i="13"/>
  <c r="L6" i="13"/>
  <c r="L5" i="13" s="1"/>
  <c r="Y12" i="11"/>
  <c r="P8" i="13" s="1"/>
  <c r="Y8" i="8"/>
  <c r="K9" i="8"/>
  <c r="K8" i="8" s="1"/>
  <c r="M9" i="8"/>
  <c r="M8" i="8" s="1"/>
  <c r="J7" i="6"/>
  <c r="L7" i="6"/>
  <c r="AM12" i="8"/>
  <c r="AM10" i="8" s="1"/>
  <c r="AM9" i="8" s="1"/>
  <c r="AM8" i="8" s="1"/>
  <c r="AJ10" i="7"/>
  <c r="AJ9" i="7" s="1"/>
  <c r="R8" i="10" l="1"/>
  <c r="T8" i="7"/>
  <c r="Q7" i="13"/>
  <c r="U13" i="11"/>
  <c r="T12" i="11"/>
  <c r="T9" i="11" s="1"/>
  <c r="J8" i="10"/>
  <c r="AC8" i="8"/>
  <c r="N37" i="10"/>
  <c r="N23" i="10" s="1"/>
  <c r="N8" i="10" s="1"/>
  <c r="AJ8" i="7"/>
  <c r="AD8" i="9"/>
  <c r="Q12" i="13"/>
  <c r="K8" i="10"/>
  <c r="O23" i="10"/>
  <c r="O8" i="10" s="1"/>
  <c r="AG9" i="11"/>
  <c r="AG8" i="11" s="1"/>
  <c r="AB8" i="10"/>
  <c r="Q11" i="13"/>
  <c r="Y12" i="13"/>
  <c r="H8" i="11"/>
  <c r="S8" i="10"/>
  <c r="O6" i="13"/>
  <c r="O5" i="13" s="1"/>
  <c r="T6" i="13"/>
  <c r="T5" i="13" s="1"/>
  <c r="Y9" i="11"/>
  <c r="Y8" i="11" s="1"/>
  <c r="Q8" i="13"/>
  <c r="X7" i="13"/>
  <c r="X6" i="13" s="1"/>
  <c r="X5" i="13" s="1"/>
  <c r="X8" i="8"/>
  <c r="S6" i="13"/>
  <c r="S5" i="13" s="1"/>
  <c r="Q6" i="13" l="1"/>
  <c r="Q5" i="13" s="1"/>
  <c r="X13" i="11"/>
  <c r="X12" i="11" s="1"/>
  <c r="X9" i="11" s="1"/>
  <c r="X8" i="11" s="1"/>
  <c r="U12" i="11"/>
  <c r="U9" i="11" s="1"/>
  <c r="U8" i="11" s="1"/>
  <c r="P6" i="13"/>
  <c r="P5" i="13" s="1"/>
  <c r="Y6" i="13"/>
  <c r="Y5" i="13" s="1"/>
  <c r="T38" i="11" l="1"/>
  <c r="T37" i="11" s="1"/>
  <c r="T22" i="11" s="1"/>
  <c r="T8" i="11" s="1"/>
</calcChain>
</file>

<file path=xl/sharedStrings.xml><?xml version="1.0" encoding="utf-8"?>
<sst xmlns="http://schemas.openxmlformats.org/spreadsheetml/2006/main" count="1210" uniqueCount="537">
  <si>
    <t>I</t>
  </si>
  <si>
    <t>II</t>
  </si>
  <si>
    <t>Đơn vị tính: Triệu đồng</t>
  </si>
  <si>
    <t>TT</t>
  </si>
  <si>
    <t>Danh mục công trình/dự án</t>
  </si>
  <si>
    <t>Địa điểm xây dựng</t>
  </si>
  <si>
    <t>Thời gian KC-HT</t>
  </si>
  <si>
    <t>Hình thức đầu tư</t>
  </si>
  <si>
    <t>Năng lực thiết kế</t>
  </si>
  <si>
    <t>Mục tiêu đầu tư</t>
  </si>
  <si>
    <t>Quyết định đầu tư</t>
  </si>
  <si>
    <t>Tổng mức đầu tư</t>
  </si>
  <si>
    <t>Tổng số</t>
  </si>
  <si>
    <t>Trong đó:</t>
  </si>
  <si>
    <t>NSĐP</t>
  </si>
  <si>
    <t>Vốn vay ODA</t>
  </si>
  <si>
    <t>Xã hội hóa</t>
  </si>
  <si>
    <t>Doanh nghiệp</t>
  </si>
  <si>
    <t>Nhân dân đóng góp</t>
  </si>
  <si>
    <t>Tổng cộng</t>
  </si>
  <si>
    <t>A</t>
  </si>
  <si>
    <t>Đường giao thông vùng chè xã Mường Kim, Tà Mung</t>
  </si>
  <si>
    <t>Các xã: Mường Kim, Tà  Mung, huyện Than Uyên</t>
  </si>
  <si>
    <t>2022-2024</t>
  </si>
  <si>
    <t>Đầu tư mới</t>
  </si>
  <si>
    <t>Phục vụ 271 ha</t>
  </si>
  <si>
    <t>1753/04.8.22</t>
  </si>
  <si>
    <t>Đường giao thông vùng chè xã Ta Gia, Khoen On</t>
  </si>
  <si>
    <t>Các xã: Ta Gia, Khoen On, huyện Than Uyên</t>
  </si>
  <si>
    <t>Phục vụ 210 ha</t>
  </si>
  <si>
    <t>1754/04.8.22</t>
  </si>
  <si>
    <t>Đường giao thông vùng chè xã Pha Mu, Tà Hừa</t>
  </si>
  <si>
    <t>Các xã: Pha Mu, Tà Hừa, huyện Than Uyên</t>
  </si>
  <si>
    <t>Phục vụ 150 ha</t>
  </si>
  <si>
    <t>1755/04.8.22</t>
  </si>
  <si>
    <t>Đường giao thông vùng chè xã Nậm Sỏ</t>
  </si>
  <si>
    <t>Xã Nậm Sỏ, huyện Tân Uyên</t>
  </si>
  <si>
    <t>Nâng cấp</t>
  </si>
  <si>
    <t>Phục vụ 500 ha</t>
  </si>
  <si>
    <t>679/17.6.22</t>
  </si>
  <si>
    <t>Đường giao thông vùng chè thị trấn Tân Uyên</t>
  </si>
  <si>
    <t>Thị trấn Tân Uyên, huyện Tân Uyên</t>
  </si>
  <si>
    <t>Phục vụ 130 ha</t>
  </si>
  <si>
    <t>680/17.6.22</t>
  </si>
  <si>
    <t>Nâng cấp đường giao thông vùng chè xã Bản Bo</t>
  </si>
  <si>
    <t>Xã Bản Bo, huyện Tam Đường</t>
  </si>
  <si>
    <t xml:space="preserve">Phục vụ 50 ha </t>
  </si>
  <si>
    <t>2462/11.7.22</t>
  </si>
  <si>
    <t>Đường giao thông vùng chè xã Nà Tăm</t>
  </si>
  <si>
    <t>Xã Nà Tăm, huyện Tam Đường</t>
  </si>
  <si>
    <t>Phục vụ 100 ha</t>
  </si>
  <si>
    <t>2464/11.7.22</t>
  </si>
  <si>
    <t>Đường giao thông vùng chè xã Khun Há</t>
  </si>
  <si>
    <t>Xã Khun Há, huyện Tam Đường</t>
  </si>
  <si>
    <t>Phục vụ 200 ha</t>
  </si>
  <si>
    <t>2463/11.7.22</t>
  </si>
  <si>
    <t>Đường giao thông vùng chè xã Sùng Phài, San Thàng</t>
  </si>
  <si>
    <t>Các xã: Sùng Phài, San Thàng, thành phố Lai Châu</t>
  </si>
  <si>
    <t>1456/09.8.22</t>
  </si>
  <si>
    <t>Đường giao thông vùng chè xã Nậm Xe, Sin Suối Hồ</t>
  </si>
  <si>
    <t>Các xã: Nậm Xe, Sin Suối Hồ, huyện Phong Thổ</t>
  </si>
  <si>
    <t>Đầu tư mới, nâng cấp</t>
  </si>
  <si>
    <t>Phục vụ 400 ha</t>
  </si>
  <si>
    <t>1891/12.8.22</t>
  </si>
  <si>
    <t>Đường giao thông vùng chè xã Hoang Thèn</t>
  </si>
  <si>
    <t>Xã Hoang Thèn, huyện Phong Thổ</t>
  </si>
  <si>
    <t xml:space="preserve">Phục vụ 60 ha </t>
  </si>
  <si>
    <t>1892/12.8.22</t>
  </si>
  <si>
    <t>Đường giao thông vùng chè xã Lản Nhì Thàng</t>
  </si>
  <si>
    <t>Xã Lản Nhì Thàng, huyện Phong Thổ</t>
  </si>
  <si>
    <t>Phục vụ 220 ha</t>
  </si>
  <si>
    <t>1890/12.8.22</t>
  </si>
  <si>
    <t>Nâng cấp hệ thống thủy lợi xã Phúc Than, Hua Nua, Tà Mung, Mường Kim</t>
  </si>
  <si>
    <t>Các xã: Phúc Than, Hua Nà, Tà Mung, Mường Kim, huyện Than Uyên</t>
  </si>
  <si>
    <t>Kiên cố 01 đầu mối, NC 15 km kênh</t>
  </si>
  <si>
    <t>Phục vụ 344 ha</t>
  </si>
  <si>
    <t>1756/04.8.22</t>
  </si>
  <si>
    <t>Đường giao thông vùng lúa xã Hua Nà</t>
  </si>
  <si>
    <t>Xã Hua Nà, huyện Than Uyên</t>
  </si>
  <si>
    <t>Phục vụ 119 ha</t>
  </si>
  <si>
    <t>1757/04.8.22</t>
  </si>
  <si>
    <t>Nâng cấp hệ thống thủy lợi huyện Tân Uyên</t>
  </si>
  <si>
    <t>Các xã: Trung Đồng, Nậm Sỏ, Hố Mít, Pắc Ta và Thị trấn Tân Uyên, huyện Tân Uyên</t>
  </si>
  <si>
    <t>Phục vụ 277 ha</t>
  </si>
  <si>
    <t>681/17.6.22</t>
  </si>
  <si>
    <t>Đường giao thông vùng lúa xã Hố Mít</t>
  </si>
  <si>
    <t>Xã Hố Mít, huyện Tân Uyên</t>
  </si>
  <si>
    <t>Phục vụ 50 ha</t>
  </si>
  <si>
    <t>682/17.6.22</t>
  </si>
  <si>
    <t>Nâng cấp, sửa chữa hệ thống thủy lợi huyện Tam Đường</t>
  </si>
  <si>
    <t>Các xã: Xã Bình Lư, Hồ Thầu, Bản Bo, huyện Tam Đường</t>
  </si>
  <si>
    <t>Kiên cố 3 đầu mối, NC 6,6 km kênh</t>
  </si>
  <si>
    <t>Phục vụ 301 ha</t>
  </si>
  <si>
    <t>2646/08.8.22</t>
  </si>
  <si>
    <t>Nâng cấp, sửa chữa hệ thống thủy lợi xã Sùng Phài</t>
  </si>
  <si>
    <t>Xã Sùng Phài, TP Lai Châu</t>
  </si>
  <si>
    <t>Kiên cố 4 đầu mối, NC 5,1 km kênh</t>
  </si>
  <si>
    <t>Phục vụ 94 ha</t>
  </si>
  <si>
    <t>1457/09.8.22</t>
  </si>
  <si>
    <t>Nâng cấp, sửa chữa hệ thống thủy lợi xã Bản Lang</t>
  </si>
  <si>
    <t>Xã Bản Lang, huyện Phong Thổ</t>
  </si>
  <si>
    <t>Phục vụ 22 ha</t>
  </si>
  <si>
    <t>1762/04.8.22</t>
  </si>
  <si>
    <t>Đường giao thông vùng lúa xã Nậm Xe, Bản Lang</t>
  </si>
  <si>
    <t>Các xã: Nậm Xe, Bản Lang, huyện Phong Thổ</t>
  </si>
  <si>
    <t>1893/12.8.22</t>
  </si>
  <si>
    <t>Nâng cấp, sửa chữa hệ thống thủy lợi xã Noong Hẻo</t>
  </si>
  <si>
    <t>Xã Noong Hẻo, huyện Sìn Hồ</t>
  </si>
  <si>
    <t>Kiên cố 1 đầu mối, ĐTM 0,7 km kênh, NC 1,9 km kênh</t>
  </si>
  <si>
    <t>Phục vụ 147 ha</t>
  </si>
  <si>
    <t>1789/05.8.22</t>
  </si>
  <si>
    <t>Nâng cấp hệ thống thủy lợi xã Nậm Hàng</t>
  </si>
  <si>
    <t>Xã Nậm Hàng, huyện Nậm Nhùn</t>
  </si>
  <si>
    <t>Kiên cố 1 đầu mối, NC 2 km kênh</t>
  </si>
  <si>
    <t>Phục vụ 75 ha</t>
  </si>
  <si>
    <t>1984/10.8.22</t>
  </si>
  <si>
    <t>Nâng cấp, sửa chữa hệ thống thủy lợi xã Bum Nưa, Vàng San</t>
  </si>
  <si>
    <t>Xã Bum Nưa, Xã Vàng San, huyện Mường Tè</t>
  </si>
  <si>
    <t>Kiên cố 2 đầu mối, NC 4,6 km kênh</t>
  </si>
  <si>
    <t>Phục vụ 82 ha</t>
  </si>
  <si>
    <t>1685/05.8.22</t>
  </si>
  <si>
    <t xml:space="preserve">Đường giao thông vùng cây ăn quả xã Nậm Sỏ </t>
  </si>
  <si>
    <t>2023-2025</t>
  </si>
  <si>
    <t>Phục vụ 110 ha chuối</t>
  </si>
  <si>
    <t xml:space="preserve">Đường giao thông vùng cây ăn quả xã Pắc Ta </t>
  </si>
  <si>
    <t>Phục vụ 95 ha chuối, xoài, bơ</t>
  </si>
  <si>
    <t>Đường giao thông vùng cây ăn quả xã Bình Lư</t>
  </si>
  <si>
    <t>Xã Bình Lư, huyện Tam Đường</t>
  </si>
  <si>
    <t>Phục vụ 60 ha chuối</t>
  </si>
  <si>
    <t>Đường giao thông vùng cây ăn quả huyện Phong Thổ</t>
  </si>
  <si>
    <t>Các xã: Bản Lang, Nậm Xe, Huổi Luông, Ma Ly Pho, Lản Nhì Thàng, huyện Phong Thổ</t>
  </si>
  <si>
    <t>Phục vụ 230 ha cây ăn quả</t>
  </si>
  <si>
    <t>Đường giao thông vùng liên kết sản xuất tập trung huyện Phong Thổ</t>
  </si>
  <si>
    <t>Các xã: Hoang Thèn, Huổi Luông, Ma Ly Pho..., huyện Phong Thổ</t>
  </si>
  <si>
    <t>Phục vụ 500 ha mía</t>
  </si>
  <si>
    <t>Đường giao thông vùng cây ăn quả huyện Sìn Hồ</t>
  </si>
  <si>
    <t>Xã: Nậm Tăm,...huyện Sìn Hồ</t>
  </si>
  <si>
    <t>Phục vụ 300 ha cây ăn quả</t>
  </si>
  <si>
    <t>Đường giao thông vùng cây ăn quả huyện Nậm Nhùn</t>
  </si>
  <si>
    <t>Các xã: Nậm Pì, Mường Mô, Nậm Manh..., huyện Nậm Nhùn</t>
  </si>
  <si>
    <t>Phục vụ 150 ha cây ăn quả</t>
  </si>
  <si>
    <t>Đường giao thông vùng Quế các xã Mường Kim, Ta Gia, huyện Than Uyên</t>
  </si>
  <si>
    <t>Các xã: Mường Kim, Ta Gia, huyện Than Uyên</t>
  </si>
  <si>
    <t>Phục vụ 811 ha cây quế</t>
  </si>
  <si>
    <t>1758/04.8.22</t>
  </si>
  <si>
    <t>Đường giao thông vùng Quế xã Nậm Sỏ,..., huyện Tân Uyên</t>
  </si>
  <si>
    <t>Xã Nậm Sỏ..., huyện Tân Uyên</t>
  </si>
  <si>
    <t>Phục vụ 3.082 ha cây quế</t>
  </si>
  <si>
    <t>673/17.6.22</t>
  </si>
  <si>
    <t>Đường giao thông vùng Quế xã Tà Mít,..., huyện Tân Uyên</t>
  </si>
  <si>
    <t>Xã Tà Mít..., huyện Tân Uyên</t>
  </si>
  <si>
    <t>674/17.6.22</t>
  </si>
  <si>
    <t xml:space="preserve">Đường giao thông vùng Quế các xã Khổng Lào, Huổi Luông, huyện Phong Thổ </t>
  </si>
  <si>
    <t>Các xã Khổng Lào, Huổi Luông, ..., huyện Phong Thổ</t>
  </si>
  <si>
    <t>1895/12.8.22</t>
  </si>
  <si>
    <t xml:space="preserve">Đường giao thông vùng Quế các xã Nậm Hăn, Nậm Cuổi, huyện Sìn Hồ </t>
  </si>
  <si>
    <t>Các xã Nậm Hăn, Nậm Cuổi, ..., huyện Sìn Hồ</t>
  </si>
  <si>
    <t>Phục vụ 1.856 ha cây quế</t>
  </si>
  <si>
    <t>1828/05.8.22</t>
  </si>
  <si>
    <t>Đường giao thông vùng Quế xã Nậm Chà, huyện Nậm Nhùn</t>
  </si>
  <si>
    <t>xã Nậm Chà, huyện Nậm Nhùn</t>
  </si>
  <si>
    <t>1985/10.8.22</t>
  </si>
  <si>
    <t>Đường giao thông vùng Quế các xã Bum Tở, Can Hồ, huyện Mường Tè</t>
  </si>
  <si>
    <t>Các xã Bum Tở, Can Hồ, huyện Mường Tè</t>
  </si>
  <si>
    <t>Phục vụ 950 ha cây quế</t>
  </si>
  <si>
    <t>1693/08.8.22</t>
  </si>
  <si>
    <t>Đường giao thông vùng Quế các xã Mường Mít, Mường Kim, Ta Gia, huyện Than Uyên</t>
  </si>
  <si>
    <t>Các xã: Mường Mít, Mường Kim, Ta Gia, huyện Than Uyên</t>
  </si>
  <si>
    <t>Phục vụ 250 ha cây quế</t>
  </si>
  <si>
    <t>1759/04.8.22</t>
  </si>
  <si>
    <t>Đường giao thông vùng Quế các xã Tà Mít, Nậm Cần, Nậm Sỏ, Pắc Ta, huyện Tân Uyên</t>
  </si>
  <si>
    <t>Các xã: Tà Mít, Nậm Cần, Nậm Sỏ, Pắc Ta..., huyện Tân Uyên</t>
  </si>
  <si>
    <t>Phục vụ 400 ha cây quế</t>
  </si>
  <si>
    <t>675/17.6.22</t>
  </si>
  <si>
    <t>Đường giao thông vùng Quế các xã Huổi Luông, Khổng Lào, huyện Phong Thổ</t>
  </si>
  <si>
    <t>Các xã: Huổi Luông, Khổng Lào..., huyện Phong Thổ</t>
  </si>
  <si>
    <t>Phục vụ 200 ha cây quế</t>
  </si>
  <si>
    <t>1894/12.8.22</t>
  </si>
  <si>
    <t>Đường giao thông vùng Quế các xã Nậm Hăn, Nậm Cuổi, Căn Co, huyện Sìn Hồ</t>
  </si>
  <si>
    <t>Các xã: Nậm Hăn, Nậm Cuổi, Căn Co..., huyện Sìn Hồ</t>
  </si>
  <si>
    <t>Phục vụ 450 ha cây quế</t>
  </si>
  <si>
    <t>1820/05.8.22</t>
  </si>
  <si>
    <t>Các xã: Nậm Chà, Mường Mô..., huyện Nậm Nhùn</t>
  </si>
  <si>
    <t>Phục vụ 300 ha cây quế</t>
  </si>
  <si>
    <t>Các xã: Bum Tở, Can Hồ, huyện Mường Tè</t>
  </si>
  <si>
    <t>1694/08.8.22</t>
  </si>
  <si>
    <t>Đường giao thông vùng cây gỗ lớn các xã Mường Mít, Ta Gia,..., huyện Than Uyên</t>
  </si>
  <si>
    <t>Các xã: Mường Mít, Ta Gia..., huyện Than Uyên</t>
  </si>
  <si>
    <t>Phục vụ 600 ha cây gỗ lớn</t>
  </si>
  <si>
    <t>Đường giao thông vùng cây gỗ lớn các xã Nậm Cần, Tà Mít, ..., huyện Tân Uyên</t>
  </si>
  <si>
    <t>Các xã: Nậm Cần, Tà Mít..., huyện Tân Uyên</t>
  </si>
  <si>
    <t>Đường giao thông vùng cây gỗ lớn xã Thèn Sin, ..., huyện Tam Đường</t>
  </si>
  <si>
    <t>Xã Thèn Sin..., huyện Tam Đường</t>
  </si>
  <si>
    <t>Phục vụ 500 ha cây gỗ lớn</t>
  </si>
  <si>
    <t>Đường giao thông vùng cây gỗ lớn các xã Nậm Hăn, Nậm Cuổi, Căn Co,..., huyện Sìn Hồ</t>
  </si>
  <si>
    <t>Phục vụ 900 ha cây gỗ lớn</t>
  </si>
  <si>
    <t>Phục vụ 200 ha cây gỗ lớn</t>
  </si>
  <si>
    <t>Đường giao thông vùng cây gỗ lớn các xã Bum Tở, Kan Hồ, Nậm Khao, ..., huyện Mường Tè</t>
  </si>
  <si>
    <t>Các xã: Bum Tở, Kan Hồ, Nậm Khao..., huyện Mường Tè</t>
  </si>
  <si>
    <t>B</t>
  </si>
  <si>
    <t>Đường giao thông vùng Quế tập trung xã Pha Mu, ..., huyện Than Uyên</t>
  </si>
  <si>
    <t>Xã Pha Mu, ..., huyện Than Uyên</t>
  </si>
  <si>
    <t>Hỗ trợ đầu tư</t>
  </si>
  <si>
    <t xml:space="preserve">Đường giao thông vùng Quế tập trung xã Mường Mít, ..., huyện Than Uyên </t>
  </si>
  <si>
    <t>Xã Mường Mít, ..., huyện Than Uyên</t>
  </si>
  <si>
    <t>Đường giao thông vùng Quế tập trung các xã Nậm Xe, Huổi Luông, Ma Ly Pho, ..., huyện Phong Thổ</t>
  </si>
  <si>
    <t>Các xã Nậm Xe, Huổi Luông, Ma Ly Pho, ..., huyện Phong Thổ</t>
  </si>
  <si>
    <t>Đường giao thông vùng Quế tập trung xã Nậm Hăn, ..., huyện Sìn Hồ</t>
  </si>
  <si>
    <t>Xã Nậm Hăn..., huyện Sìn Hồ</t>
  </si>
  <si>
    <t>Phục vụ 750 ha cây quế</t>
  </si>
  <si>
    <t>Đường giao thông vùng Quế tập trung xã Nậm Cuổi, ..., huyện Sìn Hồ</t>
  </si>
  <si>
    <t>Xã Nậm Cuổi..., huyện Sìn Hồ</t>
  </si>
  <si>
    <t>Đường giao thông vùng Quế tập trung xã Nậm Chà, ..., huyện Nậm Nhùn</t>
  </si>
  <si>
    <t>Xã Nậm Chà, ..., huyện Nậm Nhùn</t>
  </si>
  <si>
    <t>Đường giao thông vùng Quế tập trung xã Bum Tở, ...,  huyện Mường Tè</t>
  </si>
  <si>
    <t>Xã Bum Tở, ...,  huyện Mường Tè</t>
  </si>
  <si>
    <t>Phục vụ 1.100 ha cây quế</t>
  </si>
  <si>
    <t>Đường giao thông vùng Quế tập trung xã Pa Ủ, ... huyện Mường Tè</t>
  </si>
  <si>
    <t>Xã Pa Ủ, ... huyện Mường Tè</t>
  </si>
  <si>
    <t>Đường giao thông vùng Quế tập trung xã Nậm Khao, ... huyện Mường Tè</t>
  </si>
  <si>
    <t>Xã Nậm Khao, ... huyện Mường Tè</t>
  </si>
  <si>
    <t xml:space="preserve">Đường giao thông vùng cây gỗ lớn tập trung xã Mường Mít, Pha Mu, ..., huyện Than Uyên </t>
  </si>
  <si>
    <t>Xã Mường Mít, Pha Mu..., huyện Than Uyên</t>
  </si>
  <si>
    <t>Phục vụ 1.400 ha cây gỗ lớn</t>
  </si>
  <si>
    <t>Đường giao thông vùng cây gỗ lớn tập trung xã Mường Kim, ..., huyện Than Uyên</t>
  </si>
  <si>
    <t>Xã Mường Kim, ..., huyện Than Uyên</t>
  </si>
  <si>
    <t>Đường giao thông vùng cây gỗ lớn tập trung xã Tà Hừa, Ta Gia, ..., huyện Than Uyên</t>
  </si>
  <si>
    <t>Xã Tà Hừa, Ta Gia, ..., huyện Than Uyên</t>
  </si>
  <si>
    <t>Đường giao thông vùng cây gỗ lớn tập trung các xã Nậm Cần, Nậm Sỏ, ..., huyện Tân Uyên</t>
  </si>
  <si>
    <t>Các xã Nậm Cần, Nậm Sỏ, ..., huyện Tân Uyên</t>
  </si>
  <si>
    <t>Đường giao thông vùng cây gỗ lớn tập trung xã Pắc Ta, ..., huyện Tân Uyên</t>
  </si>
  <si>
    <t>Xã Pắc Ta, ..., huyện Tân Uyên</t>
  </si>
  <si>
    <t>Đường giao thông vùng cây gỗ lớn tập trung xã Tà Mít, ..., huyện Tân Uyên</t>
  </si>
  <si>
    <t>Xã Tà Mít, ..., huyện Tân Uyên</t>
  </si>
  <si>
    <t>Đường giao thông vùng cây gỗ lớn tập trung xã Thèn Sin..., huyện Tam Đường</t>
  </si>
  <si>
    <t>xã Thèn Sin..., huyện Tam Đường</t>
  </si>
  <si>
    <t>Phục vụ 300 ha cây gỗ lớn</t>
  </si>
  <si>
    <t>Đường giao thông vùng cây gỗ lớn tập trung xã Nậm Hăn, ..., huyện Sìn Hồ</t>
  </si>
  <si>
    <t>Xã Nậm Hăn, ..., huyện Sìn Hồ</t>
  </si>
  <si>
    <t>Phục vụ 1.600 ha cây gỗ lớn</t>
  </si>
  <si>
    <t>Đường giao thông vùng cây gỗ lớn tập trung xã Nậm Cuổi, ..., huyện Sìn Hồ</t>
  </si>
  <si>
    <t>Xã Nậm Cuổi, ..., huyện Sìn Hồ</t>
  </si>
  <si>
    <t>Đường giao thông vùng cây gỗ lớn tập trung các xã Nậm Cha, Căn Co..., huyện Sìn Hồ</t>
  </si>
  <si>
    <t>Các xã Nậm Cha, Căn Co..., huyện Sìn Hồ</t>
  </si>
  <si>
    <t>Các xã: Bum Tở, Pa Ủ..., huyện Mường Tè</t>
  </si>
  <si>
    <t>Phục vụ 800 ha cây gỗ lớn</t>
  </si>
  <si>
    <t>Đường giao thông vùng cây gỗ lớn tập trung các xã Nậm Khao, Mường Tè ..., huyện Mường Tè</t>
  </si>
  <si>
    <t>Các xã Nậm Khao, Mường Tè ..., huyện Mường Tè</t>
  </si>
  <si>
    <t>Xã Mường Khoa</t>
  </si>
  <si>
    <t>Cải tạo, nâng cấp</t>
  </si>
  <si>
    <t>Xã Bản Bo</t>
  </si>
  <si>
    <t>Đường Tả Lèng - vùng chè cổ</t>
  </si>
  <si>
    <t>Xã Tả Lèng</t>
  </si>
  <si>
    <t>Nâng cấp, sửa chữa hệ thống thủy lợi Mường Than</t>
  </si>
  <si>
    <t>Xã Mường Than</t>
  </si>
  <si>
    <t>Dự án cải tạo đường trục chính cánh đồng Mường Than</t>
  </si>
  <si>
    <t>H. THAN UYÊN</t>
  </si>
  <si>
    <t>Dự án trồng, phát triển cây mắc ca tại huyện Than Uyên</t>
  </si>
  <si>
    <t>huyện Than Uyên</t>
  </si>
  <si>
    <t>2022-2025</t>
  </si>
  <si>
    <t>Phục vụ 665 ha</t>
  </si>
  <si>
    <t>H. TÂN UYÊN</t>
  </si>
  <si>
    <t>Dự án trồng, phát triển cây mắc ca tại huyện Tân Uyên</t>
  </si>
  <si>
    <t>huyện Tân Uyên</t>
  </si>
  <si>
    <t>Phục vụ 1.100 ha</t>
  </si>
  <si>
    <t>III</t>
  </si>
  <si>
    <t>H. TAM ĐƯỜNG</t>
  </si>
  <si>
    <t>Dự án trồng, phát triển cây mắc ca tại huyện Tam Đường</t>
  </si>
  <si>
    <t>huyện Tam Đường</t>
  </si>
  <si>
    <t>Phục vụ  800 ha</t>
  </si>
  <si>
    <t>IV</t>
  </si>
  <si>
    <t>H. PHONG THỔ</t>
  </si>
  <si>
    <t>Dự án trồng, phát triển cây mắc ca tại huyện Phong Thổ</t>
  </si>
  <si>
    <t>huyện PhongThổ</t>
  </si>
  <si>
    <t>Phục vụ  630 ha</t>
  </si>
  <si>
    <t>V</t>
  </si>
  <si>
    <t>H. SÌN HỒ</t>
  </si>
  <si>
    <t>Dự án trồng, phát triển cây mắc ca tại huyện Sìn Hồ</t>
  </si>
  <si>
    <t>huyện Sìn Hồ</t>
  </si>
  <si>
    <t>Phục vụ  374 ha</t>
  </si>
  <si>
    <t>VI</t>
  </si>
  <si>
    <t>H. MƯỜNG TÈ</t>
  </si>
  <si>
    <t>Dự án trồng, phát triển cây mắc ca tại huyện Mường Tè</t>
  </si>
  <si>
    <t>huyện Mường Tè</t>
  </si>
  <si>
    <t>Phục vụ 431 ha</t>
  </si>
  <si>
    <t>677/17.6.22</t>
  </si>
  <si>
    <t>678/17.6.22</t>
  </si>
  <si>
    <t>2465/11.7.22</t>
  </si>
  <si>
    <t>3161/30.11.22</t>
  </si>
  <si>
    <t>3162/30.11.22</t>
  </si>
  <si>
    <t>2575/25.11.22</t>
  </si>
  <si>
    <t>2424/01.12.22</t>
  </si>
  <si>
    <t>1760/04.8.22</t>
  </si>
  <si>
    <t>676/17.6.22</t>
  </si>
  <si>
    <t>2576/25.11.22</t>
  </si>
  <si>
    <t>2425/01.12.22</t>
  </si>
  <si>
    <t>Kiên cố 3 đập đầu mối, đầu tư mới 3km kênh, nâng cấp 5km kêmh</t>
  </si>
  <si>
    <t>Theo Đề án được duyệt</t>
  </si>
  <si>
    <t>Đường giao thông vùng Quế, cây gỗ lớn xã Nậm Manh, huyện Nậm Nhùn</t>
  </si>
  <si>
    <t>Xã Nậm Manh, huyện Nậm Nhùn</t>
  </si>
  <si>
    <t>Kế hoạch vốn đã giao</t>
  </si>
  <si>
    <t>Kiên cố 01 đầu mối, NC 6,8 km kênh</t>
  </si>
  <si>
    <t>Kiên cố 2 đầu mối, NC 1,8 km kênh</t>
  </si>
  <si>
    <t>10 km, GTNT-C</t>
  </si>
  <si>
    <t>9 km, GTNT-C</t>
  </si>
  <si>
    <t>8 km, GTNT-C</t>
  </si>
  <si>
    <t>8,5 km, GTNT-C</t>
  </si>
  <si>
    <t>6 km, GTNT-C</t>
  </si>
  <si>
    <t>5,7 km, GTNT-C</t>
  </si>
  <si>
    <t>2,4 km, GTNT-C</t>
  </si>
  <si>
    <t>2,5 km, GTNT-C</t>
  </si>
  <si>
    <t>13 km, GTNT-C</t>
  </si>
  <si>
    <t>3 km, GTNT-C</t>
  </si>
  <si>
    <t>7,7 km, GTNT-C</t>
  </si>
  <si>
    <t>4 km, GTNT-C</t>
  </si>
  <si>
    <t>5,5 km, GTNT-C</t>
  </si>
  <si>
    <t>5 km, GTNT-C</t>
  </si>
  <si>
    <t>1,5 km, GTNT-C</t>
  </si>
  <si>
    <t>14 km, GTNT-C</t>
  </si>
  <si>
    <t>11 km, GTNT-C</t>
  </si>
  <si>
    <t>3,5 km, GTNT-C</t>
  </si>
  <si>
    <t>1,0 km, GTNT-C</t>
  </si>
  <si>
    <t>2 km, GTNT-C</t>
  </si>
  <si>
    <t>5,0 km, GTNT-C</t>
  </si>
  <si>
    <t>6,5 km, GTNT-C</t>
  </si>
  <si>
    <t>6,0 km, GTNT-C</t>
  </si>
  <si>
    <t>4,5 km, GTNT-C</t>
  </si>
  <si>
    <t>3,0 km, GTNT-C</t>
  </si>
  <si>
    <t>4,3 km, GTNT-B</t>
  </si>
  <si>
    <t>9,4 km, GTNT-B</t>
  </si>
  <si>
    <t>20,5 km, GTNT-B</t>
  </si>
  <si>
    <t>20,0 km, GTNT-B</t>
  </si>
  <si>
    <t>xã Pắc Ta, huyện Tân Uyên</t>
  </si>
  <si>
    <t>Ghi chú</t>
  </si>
  <si>
    <t>Đường giao thông vùng cây gỗ lớn các xã Nậm Chà, Mường Mô, ...,  huyện Nậm Nhùn</t>
  </si>
  <si>
    <t>Gộp vào vùng cây quế</t>
  </si>
  <si>
    <r>
      <t>Đường giao thông vùng chè xã Mường Khoa</t>
    </r>
    <r>
      <rPr>
        <i/>
        <sz val="12"/>
        <rFont val="Times New Roman"/>
        <family val="1"/>
      </rPr>
      <t xml:space="preserve"> (Đường trục vùng chè Phúc Khoa - Mường Khoa; Đường Nà Còi - Hô Cha)</t>
    </r>
  </si>
  <si>
    <r>
      <t xml:space="preserve">Đường giao thông vùng chè xã Bản Bo </t>
    </r>
    <r>
      <rPr>
        <i/>
        <sz val="12"/>
        <rFont val="Times New Roman"/>
        <family val="1"/>
      </rPr>
      <t>(Đường trục vùng chè Nậm Phát - Nà Can; Đường trục vùng chè Hương Phong - Hợp Nhất - Nà Khuy)</t>
    </r>
  </si>
  <si>
    <t>8,5 km đường GTNT-C</t>
  </si>
  <si>
    <t>6,49 km đường GTNT-C</t>
  </si>
  <si>
    <t>Kiên cố 08 đầu mối, NC 4,3 km kênh</t>
  </si>
  <si>
    <t>4,5 km đường GTNT-C</t>
  </si>
  <si>
    <t>10,4 km đường GTNT-C</t>
  </si>
  <si>
    <t>5,6 km đường GTNT-C</t>
  </si>
  <si>
    <t>10,8 km đường GTNT-C</t>
  </si>
  <si>
    <t>5 km đường GTNT-C</t>
  </si>
  <si>
    <t>1,4 km đường GTNT-C</t>
  </si>
  <si>
    <t>3,2 km đường GTNT-C</t>
  </si>
  <si>
    <t>Sửa chữa 2 đầu mối; NC 1,995km kênh</t>
  </si>
  <si>
    <t>4,23 km, GTNT-C</t>
  </si>
  <si>
    <t>10,85 km, GTNT-C</t>
  </si>
  <si>
    <t>8,48 km, GTNT-C</t>
  </si>
  <si>
    <t>8,41 km, GTNT-C</t>
  </si>
  <si>
    <t>Kiên cố 01 đầu mối, NC 17,73 km kênh</t>
  </si>
  <si>
    <t>7,4 km, GTNT-C</t>
  </si>
  <si>
    <t>Theo quyết định phê duyệt dự án</t>
  </si>
  <si>
    <t>0,715 km, GTNT-C</t>
  </si>
  <si>
    <t>STT</t>
  </si>
  <si>
    <t>Thành phố Lai Châu</t>
  </si>
  <si>
    <t>Huyện Than Uyên</t>
  </si>
  <si>
    <t>Huyện Tân Uyên</t>
  </si>
  <si>
    <t>VII</t>
  </si>
  <si>
    <t>Huyện Tam Đường</t>
  </si>
  <si>
    <t>VIII</t>
  </si>
  <si>
    <t>Huyện Phong Thổ</t>
  </si>
  <si>
    <t>Huyện Sìn Hồ</t>
  </si>
  <si>
    <t>Huyện Nậm Nhùn</t>
  </si>
  <si>
    <t>Huyện Mường Tè</t>
  </si>
  <si>
    <t>ĐTM</t>
  </si>
  <si>
    <t>NC</t>
  </si>
  <si>
    <t>ĐTM 31km, NC 1,5 km, GTNT-C</t>
  </si>
  <si>
    <t>Phục vụ 200ha</t>
  </si>
  <si>
    <t>Kiên cố 1 đầu mối, NC 1,776 km kênh</t>
  </si>
  <si>
    <t xml:space="preserve">Phục vụ 19 ha </t>
  </si>
  <si>
    <t>5,027 km , GTNT-C</t>
  </si>
  <si>
    <t>1,945 km, GTNT-C</t>
  </si>
  <si>
    <t>1,918 km, GTNT-C</t>
  </si>
  <si>
    <t>1,7 km, GTNT-C</t>
  </si>
  <si>
    <t>Kế hoạch đầu tư công trung hạn giai đoạn 2021-2025</t>
  </si>
  <si>
    <t>Trục đường</t>
  </si>
  <si>
    <t>Trục chính</t>
  </si>
  <si>
    <t>Quy mô đầu tư</t>
  </si>
  <si>
    <t>Cấp đường</t>
  </si>
  <si>
    <t>Trục chính
(km)</t>
  </si>
  <si>
    <t>GTNT-C</t>
  </si>
  <si>
    <t>Ngân sách nhà nước</t>
  </si>
  <si>
    <t>TP. LAI CHÂU</t>
  </si>
  <si>
    <t>Trục chính (km)</t>
  </si>
  <si>
    <t>Đường nhánh (km)</t>
  </si>
  <si>
    <t>Quy mô đầu tư theo Đề án</t>
  </si>
  <si>
    <t>GTNT-B</t>
  </si>
  <si>
    <t>Quy mô đầu tư theo thực tế triển khai thực hiện</t>
  </si>
  <si>
    <t>Nhu cầu vốn còn lại</t>
  </si>
  <si>
    <t>HẠ TẦNG THUỶ LỢI</t>
  </si>
  <si>
    <t>TP LAI CHÂU</t>
  </si>
  <si>
    <t>H. NẬM NHÙN</t>
  </si>
  <si>
    <t>HẠ TẦNG GIAO THÔNG</t>
  </si>
  <si>
    <t>Nâng cấp, cải tạo</t>
  </si>
  <si>
    <t>Hạ tầng thuỷ lợi</t>
  </si>
  <si>
    <t>Hạ tầng giao thông</t>
  </si>
  <si>
    <t>Kiên cố đầu mối</t>
  </si>
  <si>
    <t>Chiều dài kênh (km)</t>
  </si>
  <si>
    <t>Chiều dài đường (km)</t>
  </si>
  <si>
    <t>Diện tích khai thác (ha)/trục đường theo Đề án</t>
  </si>
  <si>
    <t>Diện tích khai thác (ha)/trục đường theo thực tế triển khai thực hiện</t>
  </si>
  <si>
    <t>VÙNG QUẾ ĐÃ TRỒNG (Nhân dân trồng)</t>
  </si>
  <si>
    <t>VÙNG QUẾ TRỒNG MỚI</t>
  </si>
  <si>
    <t>VÙNG NHÂN DÂN TRỒNG</t>
  </si>
  <si>
    <t>VÙNG DOANH NGHIỆP TRỒNG</t>
  </si>
  <si>
    <t>Quy mô đầu tư theo Đề án (km)</t>
  </si>
  <si>
    <t>Quy mô đầu tư theo thực tế triển khai thực hiện (km)</t>
  </si>
  <si>
    <t>ĐVT: Triệu đồng</t>
  </si>
  <si>
    <t>Tên đơn vị</t>
  </si>
  <si>
    <t>Tổng</t>
  </si>
  <si>
    <t>Vùng mắc ca</t>
  </si>
  <si>
    <t>Vùng chè</t>
  </si>
  <si>
    <t>Vùng lúa</t>
  </si>
  <si>
    <t>Vùng cây ăn quả</t>
  </si>
  <si>
    <t>Vùng cây quế</t>
  </si>
  <si>
    <t>Vùng cây gỗ lớn</t>
  </si>
  <si>
    <t xml:space="preserve">Kế hoạch đầu tư công trung hạn nguồn ngân sách địa phương giai đoạn 2021-2025 </t>
  </si>
  <si>
    <t>Nguồn vốn vay ODA</t>
  </si>
  <si>
    <t>C</t>
  </si>
  <si>
    <t>Nguồn xã hội hóa</t>
  </si>
  <si>
    <t>Doanh nghiệp đầu tư thực hiện các dự án</t>
  </si>
  <si>
    <t xml:space="preserve">Nhân dân đóng góp </t>
  </si>
  <si>
    <t>Nhu cầu đầu tư theo vùng (Theo Đề án)</t>
  </si>
  <si>
    <t>Mục tiêu đầu tư (thực tế triển khai)</t>
  </si>
  <si>
    <t>Phục vụ 445ha</t>
  </si>
  <si>
    <t xml:space="preserve">Phục vụ 49ha </t>
  </si>
  <si>
    <t>Phục vụ 156 ha</t>
  </si>
  <si>
    <t>Kinh phí do nhân dân đóng góp theo thực tế</t>
  </si>
  <si>
    <t>Phục vụ trên 500 ha cây ăn quả</t>
  </si>
  <si>
    <t>Phục vụ 113 ha mía</t>
  </si>
  <si>
    <t>Phục vụ 30 ha cây quế</t>
  </si>
  <si>
    <t>Phục vụ 20 ha chuối</t>
  </si>
  <si>
    <t>Phục vụ 180 ha</t>
  </si>
  <si>
    <t>Phục vụ 2.000 ha cây quế</t>
  </si>
  <si>
    <t>Phục vụ 1.200 ha cây quế</t>
  </si>
  <si>
    <t>Phục vụ 320 ha</t>
  </si>
  <si>
    <t>Phục vụ 28ha cây quế</t>
  </si>
  <si>
    <t>Kinh phí do nhân dân đóng góp</t>
  </si>
  <si>
    <t>Phục vụ 527 ha cây quế</t>
  </si>
  <si>
    <t>Giá trị giải ngân</t>
  </si>
  <si>
    <t>Giá trị giải ngân đến 31/12/2023</t>
  </si>
  <si>
    <t xml:space="preserve">Hội nghị phổ biến </t>
  </si>
  <si>
    <t>ThU</t>
  </si>
  <si>
    <t>TU</t>
  </si>
  <si>
    <t>TĐ</t>
  </si>
  <si>
    <t>TP</t>
  </si>
  <si>
    <t>PT</t>
  </si>
  <si>
    <t>SH</t>
  </si>
  <si>
    <t>NN</t>
  </si>
  <si>
    <t>MT</t>
  </si>
  <si>
    <t>Các đơn vị</t>
  </si>
  <si>
    <t>Số lượt người tham gia hội nghị</t>
  </si>
  <si>
    <t>Đảng viên</t>
  </si>
  <si>
    <t>CB, CC, VN</t>
  </si>
  <si>
    <t>Nhân dân, hội viên</t>
  </si>
  <si>
    <t xml:space="preserve">Số lượt người tham gia </t>
  </si>
  <si>
    <t>Lồng ghép tuyên truyền tuyên truyền NQ (buổi)</t>
  </si>
  <si>
    <t>Lồng ghép tuyên truyền tuyên truyền ĐA (buổi)</t>
  </si>
  <si>
    <t>Công tác kiểm tra, giám sát</t>
  </si>
  <si>
    <t>BTV TU kiểm tra tại QĐ 742-QĐ/TU ngày 10/02/2023, trong đó có kiểm tra việc thực hiện đầu tư CSHT tại các khu SXNN HH tập trung</t>
  </si>
  <si>
    <t>BTV kiểm tra 01 cuộc, SNN kiểm tra 01 cuộc</t>
  </si>
  <si>
    <t>Đã trồng 400 ha, tiếp tục trồng đạt mục tiêu</t>
  </si>
  <si>
    <t>Đã trồng 112,86 ha; tiếp tục trồng đạt mục tiêu</t>
  </si>
  <si>
    <t>Đã trồng 50 ha chuối, dứa,…tiếp tục trồng đạt mục tiêu</t>
  </si>
  <si>
    <t>Phục vụ 150 ha cây quế</t>
  </si>
  <si>
    <t>Đã hoàn thành</t>
  </si>
  <si>
    <t>Tổng số người</t>
  </si>
  <si>
    <t>Tổng số Hội nghị</t>
  </si>
  <si>
    <t>Đã phê duyệt tiểu dự án tuy nhiên chưa ký kết Hiệp định vay vốn</t>
  </si>
  <si>
    <t>Nhân dân đóng góp ngày công tương ứng 50 triệu đồng;
Đã hoàn thành đưa vào sử dụng</t>
  </si>
  <si>
    <t>Thực hiện</t>
  </si>
  <si>
    <t>Theo Đề án</t>
  </si>
  <si>
    <t>Tổng mức đầu tư theo Đề án</t>
  </si>
  <si>
    <t>Kinh phí do nhân dân đã đóng góp theo thực tế</t>
  </si>
  <si>
    <t>Công ty CP Tập đoàn Liên Việt Lai Châu 62,4 km; Công ty Cổ phần Dương Gia Lai Châu 11,3 km; Công ty phát triển rừng Tây Bắc 5 km</t>
  </si>
  <si>
    <t>Quy mô đầu tư theo thực tế triển khai thực hiện (Km)</t>
  </si>
  <si>
    <t>DOANH NGHIỆP, CÁ NHÂN TỰ ĐẦU TƯ</t>
  </si>
  <si>
    <t>Năm 2025</t>
  </si>
  <si>
    <t>Trong đó: Giải ngân kế hoạch vốn năm 2025</t>
  </si>
  <si>
    <t>Đã hoàn thành, QT (Số 1212/QĐ-UBND ngày 26/5/2025)</t>
  </si>
  <si>
    <t>Số 1610/QĐ-UBDN ngày 27/6/2025</t>
  </si>
  <si>
    <t>Đã quyết toán</t>
  </si>
  <si>
    <t>Nhân dân hiến đất 03 dự án với diện tích 20,75 ha tương đương 5.188 triệu đồng; Đã quyết toán</t>
  </si>
  <si>
    <t>Nhân dân đóng góp ngày công tương ứng 126 triệu đồng; Đã quyết toán</t>
  </si>
  <si>
    <t>Nhân dân hiến đất với diện tích 2,961 ha đất tương đương 740 triệu đồng; Đã quyết toán</t>
  </si>
  <si>
    <t>Đã hoàn t hành</t>
  </si>
  <si>
    <t>Đường giao thông vùng cây ăn quả xã Mường Mô</t>
  </si>
  <si>
    <t>Nhân dân hiến 1,0 ha đất tương đương 250 triệu đồng; Đã quyết toán</t>
  </si>
  <si>
    <t>DA có QĐ dừng thực hiện</t>
  </si>
  <si>
    <t>Các năm trước</t>
  </si>
  <si>
    <t>Năm 2024</t>
  </si>
  <si>
    <t>Trong đó: Giải ngân kế hoạch vốn năm 2024</t>
  </si>
  <si>
    <t>Nhân dân đóng góp ngày công tương ứng 218 triệu đồng;
Dự án đã có quyết đ ịnh phê duyệt quyết toán</t>
  </si>
  <si>
    <t>Dự án đã có quyết định phê duyệt quyết toán</t>
  </si>
  <si>
    <t>Nhân dân hiến 7,7 ha đất tương đương 1.925 triệu đồng;
dự án đã hoàn thành, chưa QT</t>
  </si>
  <si>
    <t>KHV 2025: nguồn tăng thu, tiết kiệm chi</t>
  </si>
  <si>
    <t>Phục vụ 150 ha cây quế, 200 ha cây gỗ lớn</t>
  </si>
  <si>
    <t>Lũy kế giải ngân đến 31/10/2025</t>
  </si>
  <si>
    <t>Luỹ kế giá trị giải ngân (số liệu đến 31/10/2025)</t>
  </si>
  <si>
    <t>Không thực hiện</t>
  </si>
  <si>
    <t>Đã thi công xong nhưng chưa Quyết toán</t>
  </si>
  <si>
    <t>Nhân dân đóng góp ngày công tương ứng 294 triệu đồng;
Đã thi công xong nhưng chưa Quyết toán</t>
  </si>
  <si>
    <t xml:space="preserve">Nhân dân đóng góp ngày công tương ứng 266 triệu đồng; 
Đã thi công xong nhưng chưa Quyết toán  </t>
  </si>
  <si>
    <t>Nhân dân đóng góp ngày công tương ứng 162 triệu đồng; Đã thi công xong nhưng chưa Quyết toán, đã quyết toán</t>
  </si>
  <si>
    <t>Nhân dân hiến đất với diện tích 125.930m2;
Đã thi công xong nhưng chưa Quyết toán; Dự án đã quyết toán</t>
  </si>
  <si>
    <t xml:space="preserve">Nhân dân đóng góp ngày công tương ứng 152 triệu đồng;
</t>
  </si>
  <si>
    <t>Nhân dân đóng góp ngày công tương ứng 120 triệu đồng;</t>
  </si>
  <si>
    <t>Nhân dân đóng góp ngày công tương ứng 273 triệu đồng</t>
  </si>
  <si>
    <t>Công ty Cổ phần nông lâm FOBIC</t>
  </si>
  <si>
    <t>Xã Mường Kim (trước đây là xã Pha Mu cũ)</t>
  </si>
  <si>
    <t>Tại các xã: Tân Uyên (trước đây là xã Nậm Cần), Nậm Sỏ (trước đây là xã Tà Mít), Pắc Ta</t>
  </si>
  <si>
    <t>DN tự đầu tư</t>
  </si>
  <si>
    <t>Theo QĐ phê duyệt CTĐT dự án của UBND tỉnh</t>
  </si>
  <si>
    <t>Đường lâm sinh cấp C</t>
  </si>
  <si>
    <t>Phục vụ trên 2.000 ha cây gỗ lớn</t>
  </si>
  <si>
    <t>CÔNG TY CỔ PHẦN NÔNG LÂM FOBIC</t>
  </si>
  <si>
    <t>Công ty CP Đầu tư xuất nhập khẩu nông lâm sản Phương Bắc</t>
  </si>
  <si>
    <t>Tại xã Mường Than (trước đây là Mường Mít)</t>
  </si>
  <si>
    <t>2025-2026</t>
  </si>
  <si>
    <t>Phục vụ trên 850ha cây gỗ lớn</t>
  </si>
  <si>
    <t xml:space="preserve">Nhân dân hiến 9,8 ha đất tương đương 2.450 triệu đồng; thi công đạt khoảng 90% khối lượng </t>
  </si>
  <si>
    <t xml:space="preserve">Thi công đạt khoảng 85% khối lượng </t>
  </si>
  <si>
    <t>63,1 km đường sản xuất, bao gồm: tại huyện Tân Uyên: Công ty phát triển rừng Tây Bắc 20km; Công ty An Đức Minh 7km; Hộ gia đình ông Trần Thanh Bình 14km; Hộ gia đình ông Đinh Tiến Hùng, ông Huy, ông Tiến và các hộ trồng quế xã Tà Mít 5km và tại huyện Than uyên: Công ty cổ phần nông lâm FOBIC 10,96 km; Công ty TNHHTVXD thủy lợi miền núi 18 km</t>
  </si>
  <si>
    <t>CTCP Tập đoàn Liên Việt Lai Châu đã đầu tư (42,7 km ở Pha Mu, 11,3km Mường Mít; 6km dự án Mường Cang, Mường Kim; 4,6km dự án Mường Cang)</t>
  </si>
  <si>
    <r>
      <t>Đường giao thông vùng cây gỗ lớn tập trung các xã Bum Tở, Pa Ủ, ..., huyện Mường Tè</t>
    </r>
    <r>
      <rPr>
        <i/>
        <sz val="11.5"/>
        <rFont val="Times New Roman"/>
        <family val="1"/>
      </rPr>
      <t xml:space="preserve"> </t>
    </r>
  </si>
  <si>
    <t>161,5 km đường sản xuất, bao gồm: Công ty cổ phần nông lâm FOBIC 130km; Công ty CP Đầu tư xuất nhập khẩu nông lâm sản Phương Bắc 5km; Các hộ gia đình trồng Giổi khu vực Nậm Sắt, xã Nậm Cần 20km; Hộ gia đình ông Nguyễn Thái Hòa 3,5km; Hộ gia đình ông Lê Văn Phượng 3km.</t>
  </si>
  <si>
    <r>
      <t xml:space="preserve">BIỂU 03: TÌNH HÌNH TRIỂN KHAI THỰC HIỆN ĐẦU TƯ CƠ SỞ HẠ TẦNG VÙNG CÂY MẮC CA GIAI ĐOẠN 2021-2025
</t>
    </r>
    <r>
      <rPr>
        <i/>
        <sz val="12"/>
        <rFont val="Times New Roman"/>
        <family val="1"/>
      </rPr>
      <t>(Kèm theo Báo cáo số 131-BC/TU, ngày 27/02/2026 của Ban Chấp hành Đảng bộ tỉnh)</t>
    </r>
  </si>
  <si>
    <r>
      <t xml:space="preserve">BIỂU 04: TÌNH HÌNH TRIỂN KHAI THỰC HIỆN ĐẦU TƯ CƠ SỞ HẠ TẦNG VÙNG CHÈ SẢN XUẤT NÔNG NGHIỆP HÀNG HÓA TẬP TRUNG GIAI ĐOẠN 2021-2025
</t>
    </r>
    <r>
      <rPr>
        <i/>
        <sz val="12"/>
        <rFont val="Times New Roman"/>
        <family val="1"/>
      </rPr>
      <t>(Kèm theo Báo cáo số 131-BC/TU, ngày 27/02/2026 của Ban Chấp hành Đảng bộ tỉnh)</t>
    </r>
  </si>
  <si>
    <r>
      <t xml:space="preserve">BIỂU 05: TÌNH HÌNH TRIỂN KHAI THỰC HIỆN ĐẦU TƯ CƠ SỞ HẠ TẦNG VÙNG LÚA SẢN XUẤT NÔNG NGHIỆP HÀNG HÓA TẬP TRUNG GIAI ĐOẠN 2021-2025
</t>
    </r>
    <r>
      <rPr>
        <i/>
        <sz val="12"/>
        <rFont val="Times New Roman"/>
        <family val="1"/>
      </rPr>
      <t>(Kèm theo Báo cáo số 131-BC/TU, ngày 27/02/2026 của Ban Chấp hành Đảng bộ tỉnh)</t>
    </r>
  </si>
  <si>
    <r>
      <t xml:space="preserve">BIỂU 06: TÌNH HÌNH TRIỂN KHAI THỰC HIỆN ĐẦU TƯ CƠ SỞ HẠ TẦNG VÙNG CÂY ĂN QUẢ, VÙNG LIÊN KẾT SẢN XUẤT NÔNG NGHIỆP HÀNG HÓA TẬP TRUNG GIAI ĐOẠN 2021-2025
</t>
    </r>
    <r>
      <rPr>
        <i/>
        <sz val="12"/>
        <rFont val="Times New Roman"/>
        <family val="1"/>
      </rPr>
      <t>(Kèm theo Báo cáo số 131-BC/TU, ngày 27/02/2026 của Ban Chấp hành Đảng bộ tỉnh)</t>
    </r>
  </si>
  <si>
    <r>
      <t xml:space="preserve">BIỂU 07: TÌNH HÌNH TRIỂN KHAI THỰC HIỆN ĐẦU TƯ CƠ SỞ HẠ TẦNG VÙNG CÂY QUẾ SẢN XUẤT NÔNG NGHIỆP HÀNG HÓA TẬP TRUNG GIAI ĐOẠN 2021-2025
</t>
    </r>
    <r>
      <rPr>
        <i/>
        <sz val="12"/>
        <rFont val="Times New Roman"/>
        <family val="1"/>
      </rPr>
      <t>(Kèm theo Báo cáo số 131-BC/TU, ngày 27/02/2026 của Ban Chấp hành Đảng bộ tỉnh)</t>
    </r>
  </si>
  <si>
    <r>
      <t xml:space="preserve">BIỂU 08: TÌNH HÌNH TRIỂN KHAI THỰC HIỆN ĐẦU TƯ CƠ SỞ HẠ TẦNG VÙNG  CÂY GỖ LỚN SẢN XUẤT NÔNG NGHIỆP HÀNG HÓA TẬP TRUNG GIAI ĐOẠN 2021-2025
</t>
    </r>
    <r>
      <rPr>
        <i/>
        <sz val="12"/>
        <rFont val="Times New Roman"/>
        <family val="1"/>
      </rPr>
      <t>(Kèm theo Báo cáo số 131-BC/TU, ngày 27/02/2026 của Ban Chấp hành Đảng bộ tỉnh)</t>
    </r>
  </si>
  <si>
    <r>
      <t xml:space="preserve">BIỂU 09: BIỂU TỔNG HỢP VỐN ĐẦU TƯ CƠ SỞ HẠ TẦNG VÙNG SẢN XUẤT NÔNG, LÂM NGHIỆP HÀNG HÓA TẬP TRUNG GIAI ĐOẠN 2021-2025
</t>
    </r>
    <r>
      <rPr>
        <i/>
        <sz val="12"/>
        <rFont val="Times New Roman"/>
        <family val="1"/>
      </rPr>
      <t>(Kèm theo Báo cáo số 131-BC/TU, ngày 27/02/2026 của Ban Chấp hành Đảng bộ tỉnh)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</si>
</sst>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#,##0.0"/>
    <numFmt numFmtId="165" formatCode="0.0"/>
    <numFmt numFmtId="166" formatCode="#,##0.000"/>
    <numFmt numFmtId="167" formatCode="#,##0.0000"/>
    <numFmt numFmtId="168" formatCode="0.000"/>
    <numFmt numFmtId="169" formatCode="_(* #,##0_);_(* \(#,##0\);_(* &quot;-&quot;??_);_(@_)"/>
    <numFmt numFmtId="170" formatCode="_-* #,##0\ _₫_-;\-* #,##0\ _₫_-;_-* &quot;-&quot;??\ _₫_-;_-@_-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1.5"/>
      <name val="Times New Roman"/>
      <family val="1"/>
    </font>
    <font>
      <i/>
      <sz val="11.5"/>
      <name val="Times New Roman"/>
      <family val="1"/>
    </font>
    <font>
      <sz val="11.5"/>
      <name val="Times New Roman"/>
      <family val="1"/>
    </font>
    <font>
      <sz val="11.5"/>
      <color rgb="FF7030A0"/>
      <name val="Times New Roman"/>
      <family val="1"/>
    </font>
    <font>
      <sz val="11.5"/>
      <color rgb="FFFF0000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0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4" fillId="2" borderId="1" xfId="3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4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7" fillId="3" borderId="0" xfId="0" applyNumberFormat="1" applyFont="1" applyFill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169" fontId="2" fillId="0" borderId="15" xfId="1" applyNumberFormat="1" applyFont="1" applyFill="1" applyBorder="1" applyAlignment="1">
      <alignment vertical="center"/>
    </xf>
    <xf numFmtId="169" fontId="2" fillId="0" borderId="15" xfId="1" applyNumberFormat="1" applyFont="1" applyFill="1" applyBorder="1" applyAlignment="1">
      <alignment horizontal="right" vertical="center"/>
    </xf>
    <xf numFmtId="3" fontId="2" fillId="0" borderId="15" xfId="1" applyNumberFormat="1" applyFont="1" applyFill="1" applyBorder="1" applyAlignment="1">
      <alignment horizontal="center" vertical="center" wrapText="1"/>
    </xf>
    <xf numFmtId="169" fontId="2" fillId="0" borderId="1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4" fillId="0" borderId="17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wrapText="1"/>
    </xf>
    <xf numFmtId="165" fontId="4" fillId="0" borderId="16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right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15" xfId="3" applyFont="1" applyBorder="1" applyAlignment="1">
      <alignment horizontal="center" vertical="center" wrapText="1"/>
    </xf>
    <xf numFmtId="0" fontId="2" fillId="0" borderId="15" xfId="4" applyFont="1" applyBorder="1" applyAlignment="1">
      <alignment horizontal="center" vertical="center" wrapText="1"/>
    </xf>
    <xf numFmtId="165" fontId="2" fillId="0" borderId="15" xfId="4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2" fillId="0" borderId="15" xfId="5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0" fontId="2" fillId="0" borderId="15" xfId="6" applyFont="1" applyBorder="1" applyAlignment="1">
      <alignment horizontal="center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5" xfId="6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2" fillId="0" borderId="15" xfId="7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4" fillId="0" borderId="15" xfId="8" applyFont="1" applyBorder="1" applyAlignment="1">
      <alignment horizontal="center" vertical="center" wrapText="1"/>
    </xf>
    <xf numFmtId="0" fontId="2" fillId="0" borderId="15" xfId="0" quotePrefix="1" applyFont="1" applyBorder="1" applyAlignment="1">
      <alignment horizontal="justify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15" xfId="1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right" vertical="center" wrapText="1"/>
    </xf>
    <xf numFmtId="0" fontId="4" fillId="0" borderId="15" xfId="11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4" fillId="0" borderId="15" xfId="12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15" xfId="14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7" xfId="15" applyFont="1" applyBorder="1" applyAlignment="1">
      <alignment horizontal="center" vertical="center" wrapText="1"/>
    </xf>
    <xf numFmtId="0" fontId="2" fillId="0" borderId="17" xfId="3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right" vertical="center" wrapText="1"/>
    </xf>
    <xf numFmtId="169" fontId="2" fillId="0" borderId="17" xfId="1" applyNumberFormat="1" applyFont="1" applyFill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0" fontId="2" fillId="0" borderId="15" xfId="18" applyFont="1" applyBorder="1" applyAlignment="1">
      <alignment horizontal="justify" vertical="center" wrapText="1"/>
    </xf>
    <xf numFmtId="0" fontId="4" fillId="0" borderId="15" xfId="18" applyFont="1" applyBorder="1" applyAlignment="1">
      <alignment horizontal="justify" vertical="center" wrapText="1"/>
    </xf>
    <xf numFmtId="3" fontId="8" fillId="0" borderId="15" xfId="0" applyNumberFormat="1" applyFont="1" applyBorder="1" applyAlignment="1">
      <alignment horizontal="center" vertical="center" wrapText="1"/>
    </xf>
    <xf numFmtId="0" fontId="2" fillId="0" borderId="15" xfId="19" applyFont="1" applyBorder="1" applyAlignment="1">
      <alignment horizontal="justify" vertical="center" wrapText="1"/>
    </xf>
    <xf numFmtId="0" fontId="4" fillId="0" borderId="15" xfId="19" applyFont="1" applyBorder="1" applyAlignment="1">
      <alignment horizontal="justify" vertical="center" wrapText="1"/>
    </xf>
    <xf numFmtId="0" fontId="2" fillId="0" borderId="15" xfId="20" applyFont="1" applyBorder="1" applyAlignment="1">
      <alignment horizontal="justify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4" fillId="0" borderId="15" xfId="20" applyFont="1" applyBorder="1" applyAlignment="1">
      <alignment horizontal="justify" vertical="center" wrapText="1"/>
    </xf>
    <xf numFmtId="0" fontId="2" fillId="0" borderId="15" xfId="21" applyFont="1" applyBorder="1" applyAlignment="1">
      <alignment horizontal="justify" vertical="center" wrapText="1"/>
    </xf>
    <xf numFmtId="0" fontId="4" fillId="0" borderId="15" xfId="21" applyFont="1" applyBorder="1" applyAlignment="1">
      <alignment horizontal="justify" vertical="center" wrapText="1"/>
    </xf>
    <xf numFmtId="0" fontId="2" fillId="0" borderId="15" xfId="22" applyFont="1" applyBorder="1" applyAlignment="1">
      <alignment horizontal="justify" vertical="center" wrapText="1"/>
    </xf>
    <xf numFmtId="0" fontId="2" fillId="0" borderId="15" xfId="23" applyFont="1" applyBorder="1" applyAlignment="1">
      <alignment horizontal="justify" vertical="center" wrapText="1"/>
    </xf>
    <xf numFmtId="0" fontId="2" fillId="0" borderId="15" xfId="24" applyFont="1" applyBorder="1" applyAlignment="1">
      <alignment horizontal="justify" vertical="center" wrapText="1"/>
    </xf>
    <xf numFmtId="0" fontId="2" fillId="0" borderId="15" xfId="25" applyFont="1" applyBorder="1" applyAlignment="1">
      <alignment horizontal="justify" vertical="center" wrapText="1"/>
    </xf>
    <xf numFmtId="0" fontId="2" fillId="0" borderId="15" xfId="26" applyFont="1" applyBorder="1" applyAlignment="1">
      <alignment horizontal="justify" vertical="center" wrapText="1"/>
    </xf>
    <xf numFmtId="0" fontId="2" fillId="0" borderId="15" xfId="27" applyFont="1" applyBorder="1" applyAlignment="1">
      <alignment horizontal="justify" vertical="center" wrapText="1"/>
    </xf>
    <xf numFmtId="0" fontId="2" fillId="0" borderId="15" xfId="34" applyFont="1" applyBorder="1" applyAlignment="1">
      <alignment horizontal="justify" vertical="center" wrapText="1"/>
    </xf>
    <xf numFmtId="0" fontId="4" fillId="0" borderId="15" xfId="34" applyFont="1" applyBorder="1" applyAlignment="1">
      <alignment horizontal="justify" vertical="center" wrapText="1"/>
    </xf>
    <xf numFmtId="0" fontId="2" fillId="0" borderId="15" xfId="35" applyFont="1" applyBorder="1" applyAlignment="1">
      <alignment horizontal="justify" vertical="center" wrapText="1"/>
    </xf>
    <xf numFmtId="0" fontId="4" fillId="0" borderId="15" xfId="35" applyFont="1" applyBorder="1" applyAlignment="1">
      <alignment horizontal="justify" vertical="center" wrapText="1"/>
    </xf>
    <xf numFmtId="0" fontId="2" fillId="0" borderId="15" xfId="36" applyFont="1" applyBorder="1" applyAlignment="1">
      <alignment horizontal="justify" vertical="center" wrapText="1"/>
    </xf>
    <xf numFmtId="0" fontId="4" fillId="0" borderId="15" xfId="36" applyFont="1" applyBorder="1" applyAlignment="1">
      <alignment horizontal="justify" vertical="center" wrapText="1"/>
    </xf>
    <xf numFmtId="0" fontId="2" fillId="0" borderId="15" xfId="37" applyFont="1" applyBorder="1" applyAlignment="1">
      <alignment horizontal="justify" vertical="center" wrapText="1"/>
    </xf>
    <xf numFmtId="0" fontId="4" fillId="0" borderId="15" xfId="37" applyFont="1" applyBorder="1" applyAlignment="1">
      <alignment horizontal="justify" vertical="center" wrapText="1"/>
    </xf>
    <xf numFmtId="0" fontId="2" fillId="0" borderId="15" xfId="38" applyFont="1" applyBorder="1" applyAlignment="1">
      <alignment horizontal="justify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165" fontId="4" fillId="0" borderId="17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65" fontId="9" fillId="0" borderId="16" xfId="0" applyNumberFormat="1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right" vertical="center" wrapText="1"/>
    </xf>
    <xf numFmtId="166" fontId="9" fillId="0" borderId="16" xfId="0" applyNumberFormat="1" applyFont="1" applyBorder="1" applyAlignment="1">
      <alignment horizontal="right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justify" vertical="center" wrapText="1"/>
    </xf>
    <xf numFmtId="165" fontId="8" fillId="0" borderId="15" xfId="0" applyNumberFormat="1" applyFont="1" applyBorder="1" applyAlignment="1">
      <alignment horizontal="center" vertical="center" wrapText="1"/>
    </xf>
    <xf numFmtId="3" fontId="8" fillId="0" borderId="15" xfId="0" applyNumberFormat="1" applyFont="1" applyBorder="1" applyAlignment="1">
      <alignment horizontal="right" vertical="center" wrapText="1"/>
    </xf>
    <xf numFmtId="0" fontId="8" fillId="0" borderId="15" xfId="3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9" fillId="0" borderId="15" xfId="0" applyFont="1" applyBorder="1" applyAlignment="1">
      <alignment horizontal="justify" vertical="center" wrapText="1"/>
    </xf>
    <xf numFmtId="0" fontId="9" fillId="0" borderId="15" xfId="3" applyFont="1" applyBorder="1" applyAlignment="1">
      <alignment horizontal="center" vertical="center" wrapText="1"/>
    </xf>
    <xf numFmtId="169" fontId="8" fillId="0" borderId="15" xfId="1" applyNumberFormat="1" applyFont="1" applyFill="1" applyBorder="1" applyAlignment="1">
      <alignment vertical="center"/>
    </xf>
    <xf numFmtId="168" fontId="9" fillId="0" borderId="15" xfId="0" applyNumberFormat="1" applyFont="1" applyBorder="1" applyAlignment="1">
      <alignment horizontal="center" vertical="center" wrapText="1"/>
    </xf>
    <xf numFmtId="168" fontId="8" fillId="0" borderId="15" xfId="0" applyNumberFormat="1" applyFont="1" applyBorder="1" applyAlignment="1">
      <alignment horizontal="center" vertical="center" wrapText="1"/>
    </xf>
    <xf numFmtId="169" fontId="8" fillId="0" borderId="15" xfId="1" applyNumberFormat="1" applyFont="1" applyFill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 wrapText="1"/>
    </xf>
    <xf numFmtId="169" fontId="8" fillId="0" borderId="15" xfId="1" applyNumberFormat="1" applyFont="1" applyFill="1" applyBorder="1" applyAlignment="1">
      <alignment horizontal="right" vertical="center"/>
    </xf>
    <xf numFmtId="3" fontId="8" fillId="0" borderId="15" xfId="1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justify" vertical="center" wrapText="1"/>
    </xf>
    <xf numFmtId="0" fontId="8" fillId="0" borderId="17" xfId="3" applyFont="1" applyBorder="1" applyAlignment="1">
      <alignment horizontal="center" vertical="center" wrapText="1"/>
    </xf>
    <xf numFmtId="3" fontId="8" fillId="0" borderId="17" xfId="0" applyNumberFormat="1" applyFont="1" applyBorder="1" applyAlignment="1">
      <alignment horizontal="right" vertical="center" wrapText="1"/>
    </xf>
    <xf numFmtId="3" fontId="8" fillId="0" borderId="1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8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165" fontId="11" fillId="0" borderId="16" xfId="0" applyNumberFormat="1" applyFont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right" vertical="center" wrapText="1"/>
    </xf>
    <xf numFmtId="166" fontId="11" fillId="0" borderId="16" xfId="0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justify" vertical="center" wrapText="1"/>
    </xf>
    <xf numFmtId="0" fontId="13" fillId="0" borderId="15" xfId="3" applyFont="1" applyBorder="1" applyAlignment="1">
      <alignment horizontal="center" vertical="center" wrapText="1"/>
    </xf>
    <xf numFmtId="0" fontId="13" fillId="0" borderId="15" xfId="0" applyFont="1" applyBorder="1" applyAlignment="1">
      <alignment horizontal="right" vertical="center" wrapText="1"/>
    </xf>
    <xf numFmtId="165" fontId="13" fillId="0" borderId="15" xfId="0" applyNumberFormat="1" applyFont="1" applyBorder="1" applyAlignment="1">
      <alignment horizontal="center" vertical="center" wrapText="1"/>
    </xf>
    <xf numFmtId="3" fontId="13" fillId="0" borderId="15" xfId="0" applyNumberFormat="1" applyFont="1" applyBorder="1" applyAlignment="1">
      <alignment horizontal="right" vertical="center" wrapText="1"/>
    </xf>
    <xf numFmtId="169" fontId="13" fillId="0" borderId="15" xfId="1" applyNumberFormat="1" applyFont="1" applyFill="1" applyBorder="1" applyAlignment="1">
      <alignment vertical="center"/>
    </xf>
    <xf numFmtId="3" fontId="13" fillId="0" borderId="15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justify" vertical="center" wrapText="1"/>
    </xf>
    <xf numFmtId="0" fontId="11" fillId="0" borderId="15" xfId="3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vertical="center" wrapText="1"/>
    </xf>
    <xf numFmtId="165" fontId="11" fillId="0" borderId="15" xfId="0" applyNumberFormat="1" applyFont="1" applyBorder="1" applyAlignment="1">
      <alignment horizontal="center" vertical="center" wrapText="1"/>
    </xf>
    <xf numFmtId="3" fontId="11" fillId="0" borderId="15" xfId="0" applyNumberFormat="1" applyFont="1" applyBorder="1" applyAlignment="1">
      <alignment horizontal="right" vertical="center" wrapText="1"/>
    </xf>
    <xf numFmtId="0" fontId="13" fillId="0" borderId="15" xfId="16" applyFont="1" applyBorder="1" applyAlignment="1">
      <alignment horizontal="center" vertical="center" wrapText="1"/>
    </xf>
    <xf numFmtId="0" fontId="11" fillId="0" borderId="15" xfId="16" applyFont="1" applyBorder="1" applyAlignment="1">
      <alignment horizontal="center" vertical="center" wrapText="1"/>
    </xf>
    <xf numFmtId="0" fontId="13" fillId="0" borderId="15" xfId="17" applyFont="1" applyBorder="1" applyAlignment="1">
      <alignment horizontal="center" vertical="center" wrapText="1"/>
    </xf>
    <xf numFmtId="170" fontId="13" fillId="0" borderId="15" xfId="1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1" fillId="0" borderId="15" xfId="17" applyFont="1" applyBorder="1" applyAlignment="1">
      <alignment horizontal="center" vertical="center" wrapText="1"/>
    </xf>
    <xf numFmtId="3" fontId="11" fillId="0" borderId="15" xfId="0" applyNumberFormat="1" applyFon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right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17" xfId="3" applyFont="1" applyBorder="1" applyAlignment="1">
      <alignment horizontal="center" vertical="center" wrapText="1"/>
    </xf>
    <xf numFmtId="0" fontId="13" fillId="0" borderId="17" xfId="0" applyFont="1" applyBorder="1" applyAlignment="1">
      <alignment horizontal="right" vertical="center" wrapText="1"/>
    </xf>
    <xf numFmtId="165" fontId="13" fillId="0" borderId="17" xfId="0" applyNumberFormat="1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right" vertical="center" wrapText="1"/>
    </xf>
    <xf numFmtId="170" fontId="13" fillId="0" borderId="17" xfId="1" applyNumberFormat="1" applyFont="1" applyFill="1" applyBorder="1" applyAlignment="1">
      <alignment horizontal="right" vertical="center" wrapText="1"/>
    </xf>
    <xf numFmtId="3" fontId="13" fillId="0" borderId="17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3" fontId="11" fillId="0" borderId="16" xfId="0" applyNumberFormat="1" applyFont="1" applyBorder="1" applyAlignment="1">
      <alignment horizontal="center" vertical="center" wrapText="1"/>
    </xf>
    <xf numFmtId="3" fontId="11" fillId="3" borderId="0" xfId="0" applyNumberFormat="1" applyFont="1" applyFill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167" fontId="11" fillId="0" borderId="15" xfId="0" applyNumberFormat="1" applyFont="1" applyBorder="1" applyAlignment="1">
      <alignment horizontal="right" vertical="center" wrapText="1"/>
    </xf>
    <xf numFmtId="0" fontId="13" fillId="0" borderId="15" xfId="28" applyFont="1" applyBorder="1" applyAlignment="1">
      <alignment horizontal="justify" vertical="center" wrapText="1"/>
    </xf>
    <xf numFmtId="169" fontId="13" fillId="0" borderId="15" xfId="1" applyNumberFormat="1" applyFont="1" applyFill="1" applyBorder="1" applyAlignment="1">
      <alignment horizontal="right" vertical="center"/>
    </xf>
    <xf numFmtId="3" fontId="13" fillId="0" borderId="15" xfId="1" applyNumberFormat="1" applyFont="1" applyFill="1" applyBorder="1" applyAlignment="1">
      <alignment horizontal="center" vertical="center" wrapText="1"/>
    </xf>
    <xf numFmtId="0" fontId="11" fillId="0" borderId="15" xfId="28" applyFont="1" applyBorder="1" applyAlignment="1">
      <alignment horizontal="justify" vertical="center" wrapText="1"/>
    </xf>
    <xf numFmtId="0" fontId="13" fillId="0" borderId="15" xfId="29" applyFont="1" applyBorder="1" applyAlignment="1">
      <alignment horizontal="justify" vertical="center" wrapText="1"/>
    </xf>
    <xf numFmtId="0" fontId="11" fillId="0" borderId="15" xfId="29" applyFont="1" applyBorder="1" applyAlignment="1">
      <alignment horizontal="justify" vertical="center" wrapText="1"/>
    </xf>
    <xf numFmtId="0" fontId="13" fillId="0" borderId="15" xfId="30" applyFont="1" applyBorder="1" applyAlignment="1">
      <alignment horizontal="justify" vertical="center" wrapText="1"/>
    </xf>
    <xf numFmtId="0" fontId="11" fillId="0" borderId="15" xfId="30" applyFont="1" applyBorder="1" applyAlignment="1">
      <alignment horizontal="justify" vertical="center" wrapText="1"/>
    </xf>
    <xf numFmtId="0" fontId="13" fillId="0" borderId="15" xfId="31" applyFont="1" applyBorder="1" applyAlignment="1">
      <alignment horizontal="justify" vertical="center" wrapText="1"/>
    </xf>
    <xf numFmtId="169" fontId="13" fillId="0" borderId="15" xfId="1" applyNumberFormat="1" applyFont="1" applyFill="1" applyBorder="1" applyAlignment="1">
      <alignment horizontal="center" vertical="center" wrapText="1"/>
    </xf>
    <xf numFmtId="0" fontId="11" fillId="0" borderId="15" xfId="31" applyFont="1" applyBorder="1" applyAlignment="1">
      <alignment horizontal="justify" vertical="center" wrapText="1"/>
    </xf>
    <xf numFmtId="0" fontId="13" fillId="0" borderId="15" xfId="32" applyFont="1" applyBorder="1" applyAlignment="1">
      <alignment horizontal="justify" vertical="center" wrapText="1"/>
    </xf>
    <xf numFmtId="0" fontId="11" fillId="0" borderId="15" xfId="32" applyFont="1" applyBorder="1" applyAlignment="1">
      <alignment horizontal="justify" vertical="center" wrapText="1"/>
    </xf>
    <xf numFmtId="0" fontId="13" fillId="0" borderId="15" xfId="33" applyFont="1" applyBorder="1" applyAlignment="1">
      <alignment horizontal="left" vertical="center" wrapText="1"/>
    </xf>
    <xf numFmtId="0" fontId="13" fillId="0" borderId="15" xfId="39" applyFont="1" applyBorder="1" applyAlignment="1">
      <alignment horizontal="justify" vertical="center" wrapText="1"/>
    </xf>
    <xf numFmtId="0" fontId="13" fillId="0" borderId="15" xfId="40" applyFont="1" applyBorder="1" applyAlignment="1">
      <alignment horizontal="justify" vertical="center" wrapText="1"/>
    </xf>
    <xf numFmtId="0" fontId="13" fillId="0" borderId="15" xfId="41" applyFont="1" applyBorder="1" applyAlignment="1">
      <alignment horizontal="justify" vertical="center" wrapText="1"/>
    </xf>
    <xf numFmtId="0" fontId="13" fillId="0" borderId="15" xfId="42" applyFont="1" applyBorder="1" applyAlignment="1">
      <alignment horizontal="justify" vertical="center" wrapText="1"/>
    </xf>
    <xf numFmtId="0" fontId="13" fillId="0" borderId="15" xfId="43" applyFont="1" applyBorder="1" applyAlignment="1">
      <alignment horizontal="left" vertical="center" wrapText="1"/>
    </xf>
    <xf numFmtId="0" fontId="13" fillId="0" borderId="15" xfId="0" applyFont="1" applyBorder="1" applyAlignment="1">
      <alignment horizontal="justify" vertical="center"/>
    </xf>
    <xf numFmtId="0" fontId="13" fillId="0" borderId="17" xfId="43" applyFont="1" applyBorder="1" applyAlignment="1">
      <alignment horizontal="left" vertical="center" wrapText="1"/>
    </xf>
    <xf numFmtId="10" fontId="13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justify" vertical="center" wrapText="1"/>
    </xf>
    <xf numFmtId="0" fontId="4" fillId="0" borderId="1" xfId="0" applyFont="1" applyBorder="1" applyAlignment="1">
      <alignment horizontal="right" vertical="center" wrapText="1"/>
    </xf>
    <xf numFmtId="0" fontId="4" fillId="3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3" fontId="16" fillId="0" borderId="0" xfId="0" applyNumberFormat="1" applyFont="1"/>
    <xf numFmtId="0" fontId="2" fillId="3" borderId="0" xfId="0" applyFont="1" applyFill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justify" vertical="center" wrapText="1"/>
    </xf>
    <xf numFmtId="1" fontId="2" fillId="2" borderId="0" xfId="0" applyNumberFormat="1" applyFont="1" applyFill="1" applyAlignment="1">
      <alignment horizontal="center" vertical="center" wrapText="1"/>
    </xf>
    <xf numFmtId="9" fontId="2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right" vertical="center" wrapText="1"/>
    </xf>
    <xf numFmtId="166" fontId="2" fillId="2" borderId="0" xfId="0" applyNumberFormat="1" applyFont="1" applyFill="1" applyAlignment="1">
      <alignment horizontal="center" vertical="center" wrapText="1"/>
    </xf>
    <xf numFmtId="43" fontId="2" fillId="2" borderId="0" xfId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</cellXfs>
  <cellStyles count="44">
    <cellStyle name="Comma" xfId="1" builtinId="3"/>
    <cellStyle name="Normal" xfId="0" builtinId="0"/>
    <cellStyle name="Normal 100" xfId="39"/>
    <cellStyle name="Normal 101" xfId="40"/>
    <cellStyle name="Normal 102" xfId="41"/>
    <cellStyle name="Normal 103" xfId="42"/>
    <cellStyle name="Normal 104" xfId="43"/>
    <cellStyle name="Normal 24" xfId="2"/>
    <cellStyle name="Normal 25" xfId="3"/>
    <cellStyle name="Normal 26" xfId="4"/>
    <cellStyle name="Normal 28" xfId="5"/>
    <cellStyle name="Normal 30" xfId="6"/>
    <cellStyle name="Normal 33" xfId="7"/>
    <cellStyle name="Normal 34" xfId="8"/>
    <cellStyle name="Normal 36" xfId="9"/>
    <cellStyle name="Normal 38" xfId="10"/>
    <cellStyle name="Normal 40" xfId="11"/>
    <cellStyle name="Normal 43" xfId="12"/>
    <cellStyle name="Normal 45" xfId="13"/>
    <cellStyle name="Normal 47" xfId="14"/>
    <cellStyle name="Normal 49" xfId="15"/>
    <cellStyle name="Normal 70" xfId="16"/>
    <cellStyle name="Normal 72" xfId="17"/>
    <cellStyle name="Normal 79" xfId="18"/>
    <cellStyle name="Normal 80" xfId="19"/>
    <cellStyle name="Normal 81" xfId="20"/>
    <cellStyle name="Normal 82" xfId="21"/>
    <cellStyle name="Normal 83" xfId="22"/>
    <cellStyle name="Normal 84" xfId="23"/>
    <cellStyle name="Normal 85" xfId="24"/>
    <cellStyle name="Normal 86" xfId="25"/>
    <cellStyle name="Normal 87" xfId="26"/>
    <cellStyle name="Normal 88" xfId="27"/>
    <cellStyle name="Normal 89" xfId="34"/>
    <cellStyle name="Normal 90" xfId="35"/>
    <cellStyle name="Normal 91" xfId="36"/>
    <cellStyle name="Normal 92" xfId="37"/>
    <cellStyle name="Normal 93" xfId="38"/>
    <cellStyle name="Normal 94" xfId="28"/>
    <cellStyle name="Normal 95" xfId="29"/>
    <cellStyle name="Normal 96" xfId="30"/>
    <cellStyle name="Normal 97" xfId="31"/>
    <cellStyle name="Normal 98" xfId="32"/>
    <cellStyle name="Normal 9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dmin/Desktop/Bi&#7875;u%20k&#232;m%20theo%20K&#7871;%20ho&#7841;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3. HT tưới tiết kiệm"/>
      <sheetName val="B01. KP mắc ca"/>
      <sheetName val="B02. KP Chè"/>
      <sheetName val="B03. KP vùng lúa"/>
      <sheetName val="B04. KP CAQ"/>
      <sheetName val="B05. Vùng quế"/>
      <sheetName val="B06. Cây gỗ lớn"/>
      <sheetName val="B07. Tổng KP"/>
    </sheetNames>
    <sheetDataSet>
      <sheetData sheetId="0"/>
      <sheetData sheetId="1">
        <row r="16">
          <cell r="K16">
            <v>9750</v>
          </cell>
        </row>
        <row r="18">
          <cell r="K18">
            <v>16500</v>
          </cell>
        </row>
        <row r="20">
          <cell r="K20">
            <v>12000</v>
          </cell>
        </row>
        <row r="22">
          <cell r="K22">
            <v>9750</v>
          </cell>
        </row>
        <row r="24">
          <cell r="K24">
            <v>5625</v>
          </cell>
        </row>
        <row r="26">
          <cell r="K26">
            <v>6375</v>
          </cell>
        </row>
      </sheetData>
      <sheetData sheetId="2">
        <row r="5">
          <cell r="Q5">
            <v>779.1</v>
          </cell>
        </row>
        <row r="19">
          <cell r="O19">
            <v>67777</v>
          </cell>
        </row>
        <row r="28">
          <cell r="O28">
            <v>109580</v>
          </cell>
        </row>
      </sheetData>
      <sheetData sheetId="3">
        <row r="7">
          <cell r="Q7">
            <v>1485.26</v>
          </cell>
        </row>
        <row r="9">
          <cell r="O9">
            <v>34115</v>
          </cell>
        </row>
        <row r="63">
          <cell r="O63">
            <v>17294</v>
          </cell>
        </row>
      </sheetData>
      <sheetData sheetId="4">
        <row r="6">
          <cell r="J6">
            <v>20150</v>
          </cell>
        </row>
      </sheetData>
      <sheetData sheetId="5">
        <row r="7">
          <cell r="L7">
            <v>3875</v>
          </cell>
        </row>
        <row r="35">
          <cell r="M35">
            <v>5600</v>
          </cell>
        </row>
        <row r="38">
          <cell r="M38">
            <v>4000</v>
          </cell>
        </row>
        <row r="43">
          <cell r="M43">
            <v>10400</v>
          </cell>
        </row>
        <row r="46">
          <cell r="M46">
            <v>4800</v>
          </cell>
        </row>
        <row r="48">
          <cell r="M48">
            <v>15200</v>
          </cell>
        </row>
      </sheetData>
      <sheetData sheetId="6">
        <row r="7">
          <cell r="K7">
            <v>2325</v>
          </cell>
        </row>
        <row r="20">
          <cell r="L20">
            <v>12400</v>
          </cell>
        </row>
        <row r="24">
          <cell r="L24">
            <v>12400</v>
          </cell>
        </row>
        <row r="28">
          <cell r="L28">
            <v>2400</v>
          </cell>
        </row>
        <row r="30">
          <cell r="L30">
            <v>14400</v>
          </cell>
        </row>
        <row r="34">
          <cell r="L34">
            <v>7200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zoomScaleNormal="100" workbookViewId="0">
      <selection activeCell="G5" sqref="G5:G6"/>
    </sheetView>
  </sheetViews>
  <sheetFormatPr defaultColWidth="9" defaultRowHeight="15.75" x14ac:dyDescent="0.25"/>
  <cols>
    <col min="1" max="1" width="9.625" style="10" customWidth="1"/>
    <col min="2" max="2" width="26" style="11" customWidth="1"/>
    <col min="3" max="3" width="11.75" style="10" customWidth="1"/>
    <col min="4" max="4" width="10.25" style="10" customWidth="1"/>
    <col min="5" max="5" width="9.5" style="10" customWidth="1"/>
    <col min="6" max="6" width="11.125" style="10" customWidth="1"/>
    <col min="7" max="7" width="10.75" style="10" bestFit="1" customWidth="1"/>
    <col min="8" max="8" width="9.75" style="10" customWidth="1"/>
    <col min="9" max="9" width="10.375" style="10" customWidth="1"/>
    <col min="10" max="10" width="7.875" style="10" bestFit="1" customWidth="1"/>
    <col min="11" max="11" width="8.875" style="10" customWidth="1"/>
    <col min="12" max="12" width="7" style="10" bestFit="1" customWidth="1"/>
    <col min="13" max="14" width="9.5" style="10" customWidth="1"/>
    <col min="15" max="15" width="30.75" style="10" customWidth="1"/>
    <col min="16" max="17" width="9" style="10" customWidth="1"/>
    <col min="18" max="18" width="8" style="10" customWidth="1"/>
    <col min="19" max="19" width="11.5" style="10" customWidth="1"/>
    <col min="20" max="16384" width="9" style="10"/>
  </cols>
  <sheetData>
    <row r="1" spans="1:20" s="18" customFormat="1" ht="33.75" customHeight="1" x14ac:dyDescent="0.25">
      <c r="A1" s="249" t="s">
        <v>530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pans="1:20" ht="17.25" customHeight="1" x14ac:dyDescent="0.25">
      <c r="M2" s="250" t="s">
        <v>2</v>
      </c>
      <c r="N2" s="250"/>
      <c r="O2" s="250"/>
    </row>
    <row r="3" spans="1:20" s="18" customFormat="1" ht="15.6" customHeight="1" x14ac:dyDescent="0.25">
      <c r="A3" s="238" t="s">
        <v>3</v>
      </c>
      <c r="B3" s="238" t="s">
        <v>4</v>
      </c>
      <c r="C3" s="238" t="s">
        <v>5</v>
      </c>
      <c r="D3" s="239" t="s">
        <v>379</v>
      </c>
      <c r="E3" s="238" t="s">
        <v>7</v>
      </c>
      <c r="F3" s="238" t="s">
        <v>6</v>
      </c>
      <c r="G3" s="238" t="s">
        <v>381</v>
      </c>
      <c r="H3" s="238"/>
      <c r="I3" s="242" t="s">
        <v>9</v>
      </c>
      <c r="J3" s="242" t="s">
        <v>11</v>
      </c>
      <c r="K3" s="245"/>
      <c r="L3" s="245"/>
      <c r="M3" s="246"/>
      <c r="N3" s="239" t="s">
        <v>479</v>
      </c>
      <c r="O3" s="239" t="s">
        <v>333</v>
      </c>
    </row>
    <row r="4" spans="1:20" s="18" customFormat="1" ht="7.5" customHeight="1" x14ac:dyDescent="0.25">
      <c r="A4" s="238"/>
      <c r="B4" s="238"/>
      <c r="C4" s="238"/>
      <c r="D4" s="240"/>
      <c r="E4" s="238"/>
      <c r="F4" s="238"/>
      <c r="G4" s="238"/>
      <c r="H4" s="238"/>
      <c r="I4" s="243"/>
      <c r="J4" s="244"/>
      <c r="K4" s="247"/>
      <c r="L4" s="247"/>
      <c r="M4" s="248"/>
      <c r="N4" s="240"/>
      <c r="O4" s="240"/>
    </row>
    <row r="5" spans="1:20" s="18" customFormat="1" ht="19.5" customHeight="1" x14ac:dyDescent="0.25">
      <c r="A5" s="238"/>
      <c r="B5" s="238"/>
      <c r="C5" s="238"/>
      <c r="D5" s="240"/>
      <c r="E5" s="238"/>
      <c r="F5" s="238"/>
      <c r="G5" s="238" t="s">
        <v>382</v>
      </c>
      <c r="H5" s="238" t="s">
        <v>383</v>
      </c>
      <c r="I5" s="243"/>
      <c r="J5" s="238" t="s">
        <v>12</v>
      </c>
      <c r="K5" s="239" t="s">
        <v>385</v>
      </c>
      <c r="L5" s="238" t="s">
        <v>16</v>
      </c>
      <c r="M5" s="238"/>
      <c r="N5" s="240"/>
      <c r="O5" s="240"/>
    </row>
    <row r="6" spans="1:20" s="18" customFormat="1" ht="60.75" customHeight="1" x14ac:dyDescent="0.25">
      <c r="A6" s="238"/>
      <c r="B6" s="238"/>
      <c r="C6" s="238"/>
      <c r="D6" s="241"/>
      <c r="E6" s="238"/>
      <c r="F6" s="238"/>
      <c r="G6" s="238"/>
      <c r="H6" s="238"/>
      <c r="I6" s="244"/>
      <c r="J6" s="238"/>
      <c r="K6" s="241"/>
      <c r="L6" s="16" t="s">
        <v>17</v>
      </c>
      <c r="M6" s="16" t="s">
        <v>18</v>
      </c>
      <c r="N6" s="241"/>
      <c r="O6" s="241"/>
    </row>
    <row r="7" spans="1:20" s="18" customFormat="1" ht="33.75" customHeight="1" x14ac:dyDescent="0.25">
      <c r="A7" s="16"/>
      <c r="B7" s="16" t="s">
        <v>19</v>
      </c>
      <c r="C7" s="16"/>
      <c r="D7" s="16"/>
      <c r="E7" s="16"/>
      <c r="F7" s="16"/>
      <c r="G7" s="16"/>
      <c r="H7" s="5">
        <f>H8+H10+H12+H14+H16+H18</f>
        <v>80</v>
      </c>
      <c r="I7" s="5"/>
      <c r="J7" s="6">
        <f>J8+J10+J12+J14+J16+J18</f>
        <v>60000</v>
      </c>
      <c r="K7" s="6"/>
      <c r="L7" s="6">
        <f>L8+L10+L12+L14+L16+L18</f>
        <v>60000</v>
      </c>
      <c r="M7" s="6"/>
      <c r="N7" s="5">
        <f t="shared" ref="N7" si="0">N8+N10+N12+N14+N16+N18</f>
        <v>147.80000000000001</v>
      </c>
      <c r="O7" s="6"/>
    </row>
    <row r="8" spans="1:20" s="18" customFormat="1" ht="26.25" customHeight="1" x14ac:dyDescent="0.25">
      <c r="A8" s="16" t="s">
        <v>0</v>
      </c>
      <c r="B8" s="19" t="s">
        <v>256</v>
      </c>
      <c r="C8" s="16"/>
      <c r="D8" s="16"/>
      <c r="E8" s="12"/>
      <c r="F8" s="12"/>
      <c r="G8" s="16"/>
      <c r="H8" s="5">
        <f>H9</f>
        <v>13</v>
      </c>
      <c r="I8" s="5"/>
      <c r="J8" s="6">
        <f>J9</f>
        <v>9750</v>
      </c>
      <c r="K8" s="6"/>
      <c r="L8" s="6">
        <f>L9</f>
        <v>9750</v>
      </c>
      <c r="M8" s="6"/>
      <c r="N8" s="5">
        <f t="shared" ref="N8" si="1">N9</f>
        <v>69.099999999999994</v>
      </c>
      <c r="O8" s="16"/>
      <c r="S8" s="14"/>
      <c r="T8" s="14"/>
    </row>
    <row r="9" spans="1:20" ht="87" customHeight="1" x14ac:dyDescent="0.25">
      <c r="A9" s="17">
        <v>1</v>
      </c>
      <c r="B9" s="3" t="s">
        <v>257</v>
      </c>
      <c r="C9" s="17" t="s">
        <v>258</v>
      </c>
      <c r="D9" s="17" t="s">
        <v>380</v>
      </c>
      <c r="E9" s="17" t="s">
        <v>24</v>
      </c>
      <c r="F9" s="17" t="s">
        <v>259</v>
      </c>
      <c r="G9" s="8" t="s">
        <v>384</v>
      </c>
      <c r="H9" s="1">
        <v>13</v>
      </c>
      <c r="I9" s="17" t="s">
        <v>260</v>
      </c>
      <c r="J9" s="9">
        <f>L9+M9</f>
        <v>9750</v>
      </c>
      <c r="K9" s="9"/>
      <c r="L9" s="4">
        <v>9750</v>
      </c>
      <c r="M9" s="9"/>
      <c r="N9" s="17">
        <v>69.099999999999994</v>
      </c>
      <c r="O9" s="17" t="s">
        <v>527</v>
      </c>
      <c r="S9" s="15"/>
      <c r="T9" s="15"/>
    </row>
    <row r="10" spans="1:20" s="18" customFormat="1" ht="30.75" customHeight="1" x14ac:dyDescent="0.25">
      <c r="A10" s="16" t="s">
        <v>1</v>
      </c>
      <c r="B10" s="19" t="s">
        <v>261</v>
      </c>
      <c r="C10" s="16"/>
      <c r="D10" s="16"/>
      <c r="E10" s="16"/>
      <c r="F10" s="16"/>
      <c r="G10" s="5"/>
      <c r="H10" s="5">
        <f>H11</f>
        <v>22</v>
      </c>
      <c r="I10" s="5"/>
      <c r="J10" s="6">
        <f>J11</f>
        <v>16500</v>
      </c>
      <c r="K10" s="6"/>
      <c r="L10" s="6">
        <f>L11</f>
        <v>16500</v>
      </c>
      <c r="M10" s="6"/>
      <c r="N10" s="5">
        <f t="shared" ref="N10" si="2">N11</f>
        <v>78.7</v>
      </c>
      <c r="O10" s="16"/>
      <c r="S10" s="14"/>
      <c r="T10" s="14"/>
    </row>
    <row r="11" spans="1:20" ht="67.5" customHeight="1" x14ac:dyDescent="0.25">
      <c r="A11" s="17">
        <v>1</v>
      </c>
      <c r="B11" s="3" t="s">
        <v>262</v>
      </c>
      <c r="C11" s="17" t="s">
        <v>263</v>
      </c>
      <c r="D11" s="17" t="s">
        <v>380</v>
      </c>
      <c r="E11" s="17" t="s">
        <v>24</v>
      </c>
      <c r="F11" s="17" t="s">
        <v>259</v>
      </c>
      <c r="G11" s="8" t="s">
        <v>384</v>
      </c>
      <c r="H11" s="1">
        <v>22</v>
      </c>
      <c r="I11" s="17" t="s">
        <v>264</v>
      </c>
      <c r="J11" s="9">
        <f>L11+M11</f>
        <v>16500</v>
      </c>
      <c r="K11" s="9"/>
      <c r="L11" s="4">
        <v>16500</v>
      </c>
      <c r="M11" s="9"/>
      <c r="N11" s="17">
        <v>78.7</v>
      </c>
      <c r="O11" s="17" t="s">
        <v>478</v>
      </c>
      <c r="S11" s="15"/>
      <c r="T11" s="15"/>
    </row>
    <row r="12" spans="1:20" s="18" customFormat="1" ht="30.75" customHeight="1" x14ac:dyDescent="0.25">
      <c r="A12" s="16" t="s">
        <v>265</v>
      </c>
      <c r="B12" s="19" t="s">
        <v>266</v>
      </c>
      <c r="C12" s="16"/>
      <c r="D12" s="16"/>
      <c r="E12" s="16"/>
      <c r="F12" s="16"/>
      <c r="G12" s="5"/>
      <c r="H12" s="5">
        <f>H13</f>
        <v>16</v>
      </c>
      <c r="I12" s="16"/>
      <c r="J12" s="6">
        <f>J13</f>
        <v>12000</v>
      </c>
      <c r="K12" s="6"/>
      <c r="L12" s="6">
        <f>L13</f>
        <v>12000</v>
      </c>
      <c r="M12" s="6"/>
      <c r="N12" s="16"/>
      <c r="O12" s="16"/>
      <c r="S12" s="14"/>
      <c r="T12" s="14"/>
    </row>
    <row r="13" spans="1:20" ht="42" customHeight="1" x14ac:dyDescent="0.25">
      <c r="A13" s="17">
        <v>1</v>
      </c>
      <c r="B13" s="2" t="s">
        <v>267</v>
      </c>
      <c r="C13" s="17" t="s">
        <v>268</v>
      </c>
      <c r="D13" s="17" t="s">
        <v>380</v>
      </c>
      <c r="E13" s="17" t="s">
        <v>24</v>
      </c>
      <c r="F13" s="17" t="s">
        <v>259</v>
      </c>
      <c r="G13" s="8" t="s">
        <v>384</v>
      </c>
      <c r="H13" s="1">
        <v>16</v>
      </c>
      <c r="I13" s="17" t="s">
        <v>269</v>
      </c>
      <c r="J13" s="9">
        <f>L13+M13</f>
        <v>12000</v>
      </c>
      <c r="K13" s="9"/>
      <c r="L13" s="4">
        <v>12000</v>
      </c>
      <c r="M13" s="9"/>
      <c r="N13" s="17"/>
      <c r="O13" s="17" t="s">
        <v>503</v>
      </c>
      <c r="S13" s="15"/>
      <c r="T13" s="15"/>
    </row>
    <row r="14" spans="1:20" s="18" customFormat="1" ht="30.75" customHeight="1" x14ac:dyDescent="0.25">
      <c r="A14" s="16" t="s">
        <v>270</v>
      </c>
      <c r="B14" s="19" t="s">
        <v>271</v>
      </c>
      <c r="C14" s="16"/>
      <c r="D14" s="16"/>
      <c r="E14" s="16"/>
      <c r="F14" s="16"/>
      <c r="G14" s="5"/>
      <c r="H14" s="5">
        <f>H15</f>
        <v>13</v>
      </c>
      <c r="I14" s="16"/>
      <c r="J14" s="6">
        <f>J15</f>
        <v>9750</v>
      </c>
      <c r="K14" s="6"/>
      <c r="L14" s="6">
        <f>L15</f>
        <v>9750</v>
      </c>
      <c r="M14" s="6"/>
      <c r="N14" s="16"/>
      <c r="O14" s="16"/>
      <c r="S14" s="14"/>
      <c r="T14" s="14"/>
    </row>
    <row r="15" spans="1:20" ht="46.5" customHeight="1" x14ac:dyDescent="0.25">
      <c r="A15" s="17">
        <v>1</v>
      </c>
      <c r="B15" s="3" t="s">
        <v>272</v>
      </c>
      <c r="C15" s="17" t="s">
        <v>273</v>
      </c>
      <c r="D15" s="17" t="s">
        <v>380</v>
      </c>
      <c r="E15" s="17" t="s">
        <v>24</v>
      </c>
      <c r="F15" s="17" t="s">
        <v>259</v>
      </c>
      <c r="G15" s="8" t="s">
        <v>384</v>
      </c>
      <c r="H15" s="1">
        <v>13</v>
      </c>
      <c r="I15" s="17" t="s">
        <v>274</v>
      </c>
      <c r="J15" s="9">
        <f>L15+M15</f>
        <v>9750</v>
      </c>
      <c r="K15" s="9"/>
      <c r="L15" s="4">
        <v>9750</v>
      </c>
      <c r="M15" s="9"/>
      <c r="N15" s="17"/>
      <c r="O15" s="17" t="s">
        <v>503</v>
      </c>
      <c r="S15" s="15"/>
      <c r="T15" s="15"/>
    </row>
    <row r="16" spans="1:20" s="18" customFormat="1" ht="30.75" customHeight="1" x14ac:dyDescent="0.25">
      <c r="A16" s="16" t="s">
        <v>275</v>
      </c>
      <c r="B16" s="19" t="s">
        <v>276</v>
      </c>
      <c r="C16" s="16"/>
      <c r="D16" s="16"/>
      <c r="E16" s="16"/>
      <c r="F16" s="16"/>
      <c r="G16" s="5"/>
      <c r="H16" s="5">
        <f>H17</f>
        <v>7.5</v>
      </c>
      <c r="I16" s="16"/>
      <c r="J16" s="6">
        <f>J17</f>
        <v>5625</v>
      </c>
      <c r="K16" s="6"/>
      <c r="L16" s="6">
        <f>L17</f>
        <v>5625</v>
      </c>
      <c r="M16" s="6"/>
      <c r="N16" s="16"/>
      <c r="O16" s="16"/>
      <c r="S16" s="14"/>
      <c r="T16" s="14"/>
    </row>
    <row r="17" spans="1:20" ht="47.25" customHeight="1" x14ac:dyDescent="0.25">
      <c r="A17" s="17">
        <v>1</v>
      </c>
      <c r="B17" s="3" t="s">
        <v>277</v>
      </c>
      <c r="C17" s="17" t="s">
        <v>278</v>
      </c>
      <c r="D17" s="17" t="s">
        <v>380</v>
      </c>
      <c r="E17" s="17" t="s">
        <v>24</v>
      </c>
      <c r="F17" s="17" t="s">
        <v>259</v>
      </c>
      <c r="G17" s="8" t="s">
        <v>384</v>
      </c>
      <c r="H17" s="1">
        <v>7.5</v>
      </c>
      <c r="I17" s="17" t="s">
        <v>279</v>
      </c>
      <c r="J17" s="9">
        <f>L17+M17</f>
        <v>5625</v>
      </c>
      <c r="K17" s="9"/>
      <c r="L17" s="4">
        <v>5625</v>
      </c>
      <c r="M17" s="9"/>
      <c r="N17" s="17"/>
      <c r="O17" s="17" t="s">
        <v>503</v>
      </c>
      <c r="S17" s="15"/>
      <c r="T17" s="15"/>
    </row>
    <row r="18" spans="1:20" s="18" customFormat="1" ht="30" customHeight="1" x14ac:dyDescent="0.25">
      <c r="A18" s="16" t="s">
        <v>280</v>
      </c>
      <c r="B18" s="19" t="s">
        <v>281</v>
      </c>
      <c r="C18" s="16"/>
      <c r="D18" s="16"/>
      <c r="E18" s="16"/>
      <c r="F18" s="16"/>
      <c r="G18" s="7"/>
      <c r="H18" s="5">
        <f>H19</f>
        <v>8.5</v>
      </c>
      <c r="I18" s="16"/>
      <c r="J18" s="6">
        <f>J19</f>
        <v>6375</v>
      </c>
      <c r="K18" s="6"/>
      <c r="L18" s="6">
        <f>L19</f>
        <v>6375</v>
      </c>
      <c r="M18" s="6"/>
      <c r="N18" s="16"/>
      <c r="O18" s="16"/>
      <c r="S18" s="14"/>
      <c r="T18" s="14"/>
    </row>
    <row r="19" spans="1:20" ht="49.5" customHeight="1" x14ac:dyDescent="0.25">
      <c r="A19" s="17">
        <v>1</v>
      </c>
      <c r="B19" s="3" t="s">
        <v>282</v>
      </c>
      <c r="C19" s="17" t="s">
        <v>283</v>
      </c>
      <c r="D19" s="17" t="s">
        <v>380</v>
      </c>
      <c r="E19" s="17" t="s">
        <v>24</v>
      </c>
      <c r="F19" s="17" t="s">
        <v>259</v>
      </c>
      <c r="G19" s="8" t="s">
        <v>384</v>
      </c>
      <c r="H19" s="1">
        <v>8.5</v>
      </c>
      <c r="I19" s="17" t="s">
        <v>284</v>
      </c>
      <c r="J19" s="9">
        <f>L19+M19</f>
        <v>6375</v>
      </c>
      <c r="K19" s="9"/>
      <c r="L19" s="9">
        <v>6375</v>
      </c>
      <c r="M19" s="9"/>
      <c r="N19" s="17"/>
      <c r="O19" s="17" t="s">
        <v>503</v>
      </c>
      <c r="S19" s="15"/>
      <c r="T19" s="15"/>
    </row>
  </sheetData>
  <mergeCells count="18">
    <mergeCell ref="A1:O1"/>
    <mergeCell ref="M2:O2"/>
    <mergeCell ref="A3:A6"/>
    <mergeCell ref="B3:B6"/>
    <mergeCell ref="C3:C6"/>
    <mergeCell ref="F3:F6"/>
    <mergeCell ref="G3:H4"/>
    <mergeCell ref="D3:D6"/>
    <mergeCell ref="E3:E6"/>
    <mergeCell ref="K5:K6"/>
    <mergeCell ref="L5:M5"/>
    <mergeCell ref="O3:O6"/>
    <mergeCell ref="G5:G6"/>
    <mergeCell ref="N3:N6"/>
    <mergeCell ref="H5:H6"/>
    <mergeCell ref="J5:J6"/>
    <mergeCell ref="I3:I6"/>
    <mergeCell ref="J3:M4"/>
  </mergeCells>
  <printOptions horizontalCentered="1"/>
  <pageMargins left="0.35433070866141703" right="0.35433070866141703" top="0.511811023622047" bottom="0.511811023622047" header="0.31496062992126" footer="0.31496062992126"/>
  <pageSetup paperSize="9" scale="7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zoomScale="70" zoomScaleNormal="70" workbookViewId="0">
      <pane xSplit="9" ySplit="7" topLeftCell="J8" activePane="bottomRight" state="frozen"/>
      <selection pane="topRight" activeCell="J1" sqref="J1"/>
      <selection pane="bottomLeft" activeCell="A9" sqref="A9"/>
      <selection pane="bottomRight" activeCell="F3" sqref="F3:F7"/>
    </sheetView>
  </sheetViews>
  <sheetFormatPr defaultColWidth="9" defaultRowHeight="15.75" x14ac:dyDescent="0.25"/>
  <cols>
    <col min="1" max="1" width="5.625" style="31" customWidth="1"/>
    <col min="2" max="2" width="26.375" style="37" customWidth="1"/>
    <col min="3" max="3" width="12.625" style="31" customWidth="1"/>
    <col min="4" max="4" width="8.75" style="31" customWidth="1"/>
    <col min="5" max="5" width="11.375" style="31" customWidth="1"/>
    <col min="6" max="6" width="13.25" style="31" customWidth="1"/>
    <col min="7" max="7" width="15.875" style="31" customWidth="1"/>
    <col min="8" max="8" width="9.75" style="31" customWidth="1"/>
    <col min="9" max="9" width="8.625" style="31" customWidth="1"/>
    <col min="10" max="10" width="8" style="31" customWidth="1"/>
    <col min="11" max="11" width="9" style="31" customWidth="1"/>
    <col min="12" max="12" width="9.25" style="31" customWidth="1"/>
    <col min="13" max="14" width="8.25" style="31" customWidth="1"/>
    <col min="15" max="15" width="6.75" style="31" customWidth="1"/>
    <col min="16" max="17" width="8.125" style="31" customWidth="1"/>
    <col min="18" max="18" width="9.875" style="31" customWidth="1"/>
    <col min="19" max="19" width="9.625" style="31" customWidth="1"/>
    <col min="20" max="20" width="9.375" style="31" customWidth="1"/>
    <col min="21" max="21" width="9.5" style="31" customWidth="1"/>
    <col min="22" max="22" width="10.625" style="31" customWidth="1"/>
    <col min="23" max="23" width="7.5" style="31" customWidth="1"/>
    <col min="24" max="25" width="10" style="31" customWidth="1"/>
    <col min="26" max="26" width="10.125" style="31" customWidth="1"/>
    <col min="27" max="27" width="9.5" style="31" customWidth="1"/>
    <col min="28" max="28" width="8.625" style="31" hidden="1" customWidth="1"/>
    <col min="29" max="30" width="7.75" style="31" hidden="1" customWidth="1"/>
    <col min="31" max="31" width="7.75" style="31" customWidth="1"/>
    <col min="32" max="32" width="10.5" style="31" customWidth="1"/>
    <col min="33" max="33" width="10.75" style="31" hidden="1" customWidth="1"/>
    <col min="34" max="34" width="11.125" style="31" hidden="1" customWidth="1"/>
    <col min="35" max="35" width="8.875" style="31" customWidth="1"/>
    <col min="36" max="36" width="9.5" style="31" customWidth="1"/>
    <col min="37" max="37" width="17" style="31" customWidth="1"/>
    <col min="38" max="38" width="20.75" style="31" customWidth="1"/>
    <col min="39" max="39" width="9" style="31" customWidth="1"/>
    <col min="40" max="40" width="8" style="31" customWidth="1"/>
    <col min="41" max="41" width="10.25" style="31" customWidth="1"/>
    <col min="42" max="42" width="5" style="31" customWidth="1"/>
    <col min="43" max="43" width="11" style="31" customWidth="1"/>
    <col min="44" max="44" width="9" style="31"/>
    <col min="45" max="45" width="11.5" style="31" customWidth="1"/>
    <col min="46" max="16384" width="9" style="31"/>
  </cols>
  <sheetData>
    <row r="1" spans="1:46" s="35" customFormat="1" ht="70.5" customHeight="1" x14ac:dyDescent="0.25">
      <c r="A1" s="259" t="s">
        <v>531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</row>
    <row r="2" spans="1:46" ht="25.5" customHeight="1" x14ac:dyDescent="0.25">
      <c r="X2" s="266" t="s">
        <v>2</v>
      </c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</row>
    <row r="3" spans="1:46" s="35" customFormat="1" ht="22.5" customHeight="1" x14ac:dyDescent="0.25">
      <c r="A3" s="252" t="s">
        <v>3</v>
      </c>
      <c r="B3" s="252" t="s">
        <v>4</v>
      </c>
      <c r="C3" s="252" t="s">
        <v>5</v>
      </c>
      <c r="D3" s="252" t="s">
        <v>6</v>
      </c>
      <c r="E3" s="252" t="s">
        <v>7</v>
      </c>
      <c r="F3" s="252" t="s">
        <v>10</v>
      </c>
      <c r="G3" s="252" t="s">
        <v>8</v>
      </c>
      <c r="H3" s="252"/>
      <c r="I3" s="252" t="s">
        <v>382</v>
      </c>
      <c r="J3" s="253" t="s">
        <v>389</v>
      </c>
      <c r="K3" s="253"/>
      <c r="L3" s="253"/>
      <c r="M3" s="254"/>
      <c r="N3" s="252" t="s">
        <v>391</v>
      </c>
      <c r="O3" s="252"/>
      <c r="P3" s="252"/>
      <c r="Q3" s="267"/>
      <c r="R3" s="257" t="s">
        <v>9</v>
      </c>
      <c r="S3" s="254"/>
      <c r="T3" s="253" t="s">
        <v>476</v>
      </c>
      <c r="U3" s="253"/>
      <c r="V3" s="253"/>
      <c r="W3" s="253"/>
      <c r="X3" s="254"/>
      <c r="Y3" s="262" t="s">
        <v>477</v>
      </c>
      <c r="Z3" s="262" t="s">
        <v>378</v>
      </c>
      <c r="AA3" s="257" t="s">
        <v>300</v>
      </c>
      <c r="AB3" s="253"/>
      <c r="AC3" s="253"/>
      <c r="AD3" s="253"/>
      <c r="AE3" s="254"/>
      <c r="AF3" s="257" t="s">
        <v>443</v>
      </c>
      <c r="AG3" s="253"/>
      <c r="AH3" s="253"/>
      <c r="AI3" s="254"/>
      <c r="AJ3" s="262" t="s">
        <v>392</v>
      </c>
      <c r="AK3" s="252" t="s">
        <v>333</v>
      </c>
    </row>
    <row r="4" spans="1:46" s="35" customFormat="1" ht="14.25" customHeight="1" x14ac:dyDescent="0.25">
      <c r="A4" s="252"/>
      <c r="B4" s="252"/>
      <c r="C4" s="252"/>
      <c r="D4" s="252"/>
      <c r="E4" s="252"/>
      <c r="F4" s="252"/>
      <c r="G4" s="252"/>
      <c r="H4" s="252"/>
      <c r="I4" s="252"/>
      <c r="J4" s="255"/>
      <c r="K4" s="255"/>
      <c r="L4" s="255"/>
      <c r="M4" s="256"/>
      <c r="N4" s="252"/>
      <c r="O4" s="252"/>
      <c r="P4" s="252"/>
      <c r="Q4" s="267"/>
      <c r="R4" s="261"/>
      <c r="S4" s="256"/>
      <c r="T4" s="255"/>
      <c r="U4" s="255"/>
      <c r="V4" s="255"/>
      <c r="W4" s="255"/>
      <c r="X4" s="256"/>
      <c r="Y4" s="263"/>
      <c r="Z4" s="263"/>
      <c r="AA4" s="261"/>
      <c r="AB4" s="255"/>
      <c r="AC4" s="255"/>
      <c r="AD4" s="255"/>
      <c r="AE4" s="256"/>
      <c r="AF4" s="261"/>
      <c r="AG4" s="255"/>
      <c r="AH4" s="255"/>
      <c r="AI4" s="256"/>
      <c r="AJ4" s="263"/>
      <c r="AK4" s="252"/>
    </row>
    <row r="5" spans="1:46" s="35" customFormat="1" ht="40.5" customHeight="1" x14ac:dyDescent="0.25">
      <c r="A5" s="252"/>
      <c r="B5" s="252"/>
      <c r="C5" s="252"/>
      <c r="D5" s="252"/>
      <c r="E5" s="252"/>
      <c r="F5" s="252"/>
      <c r="G5" s="252" t="s">
        <v>297</v>
      </c>
      <c r="H5" s="252" t="s">
        <v>355</v>
      </c>
      <c r="I5" s="252"/>
      <c r="J5" s="251" t="s">
        <v>387</v>
      </c>
      <c r="K5" s="252"/>
      <c r="L5" s="252" t="s">
        <v>388</v>
      </c>
      <c r="M5" s="252"/>
      <c r="N5" s="251" t="s">
        <v>387</v>
      </c>
      <c r="O5" s="252"/>
      <c r="P5" s="252" t="s">
        <v>388</v>
      </c>
      <c r="Q5" s="252"/>
      <c r="R5" s="264" t="s">
        <v>475</v>
      </c>
      <c r="S5" s="264" t="s">
        <v>474</v>
      </c>
      <c r="T5" s="252" t="s">
        <v>12</v>
      </c>
      <c r="U5" s="252" t="s">
        <v>13</v>
      </c>
      <c r="V5" s="252"/>
      <c r="W5" s="252"/>
      <c r="X5" s="252"/>
      <c r="Y5" s="263"/>
      <c r="Z5" s="263"/>
      <c r="AA5" s="252" t="s">
        <v>12</v>
      </c>
      <c r="AB5" s="257" t="s">
        <v>493</v>
      </c>
      <c r="AC5" s="253"/>
      <c r="AD5" s="254"/>
      <c r="AE5" s="262" t="s">
        <v>481</v>
      </c>
      <c r="AF5" s="252" t="s">
        <v>501</v>
      </c>
      <c r="AG5" s="252" t="s">
        <v>444</v>
      </c>
      <c r="AH5" s="252" t="s">
        <v>495</v>
      </c>
      <c r="AI5" s="252" t="s">
        <v>482</v>
      </c>
      <c r="AJ5" s="263"/>
      <c r="AK5" s="252"/>
    </row>
    <row r="6" spans="1:46" s="35" customFormat="1" ht="15.75" customHeight="1" x14ac:dyDescent="0.25">
      <c r="A6" s="252"/>
      <c r="B6" s="252"/>
      <c r="C6" s="252"/>
      <c r="D6" s="252"/>
      <c r="E6" s="252"/>
      <c r="F6" s="252"/>
      <c r="G6" s="252"/>
      <c r="H6" s="252"/>
      <c r="I6" s="252"/>
      <c r="J6" s="251" t="s">
        <v>24</v>
      </c>
      <c r="K6" s="252" t="s">
        <v>37</v>
      </c>
      <c r="L6" s="252" t="s">
        <v>24</v>
      </c>
      <c r="M6" s="252" t="s">
        <v>37</v>
      </c>
      <c r="N6" s="251" t="s">
        <v>24</v>
      </c>
      <c r="O6" s="252" t="s">
        <v>37</v>
      </c>
      <c r="P6" s="252" t="s">
        <v>24</v>
      </c>
      <c r="Q6" s="252" t="s">
        <v>37</v>
      </c>
      <c r="R6" s="252"/>
      <c r="S6" s="252"/>
      <c r="T6" s="252"/>
      <c r="U6" s="252" t="s">
        <v>14</v>
      </c>
      <c r="V6" s="252" t="s">
        <v>15</v>
      </c>
      <c r="W6" s="252" t="s">
        <v>16</v>
      </c>
      <c r="X6" s="252"/>
      <c r="Y6" s="263"/>
      <c r="Z6" s="263"/>
      <c r="AA6" s="252"/>
      <c r="AB6" s="258"/>
      <c r="AC6" s="259"/>
      <c r="AD6" s="260"/>
      <c r="AE6" s="263"/>
      <c r="AF6" s="252"/>
      <c r="AG6" s="252"/>
      <c r="AH6" s="252"/>
      <c r="AI6" s="252"/>
      <c r="AJ6" s="263"/>
      <c r="AK6" s="252"/>
    </row>
    <row r="7" spans="1:46" s="35" customFormat="1" ht="99.75" customHeight="1" x14ac:dyDescent="0.25">
      <c r="A7" s="252"/>
      <c r="B7" s="252"/>
      <c r="C7" s="252"/>
      <c r="D7" s="252"/>
      <c r="E7" s="252"/>
      <c r="F7" s="252"/>
      <c r="G7" s="252"/>
      <c r="H7" s="252"/>
      <c r="I7" s="252"/>
      <c r="J7" s="251"/>
      <c r="K7" s="252"/>
      <c r="L7" s="252"/>
      <c r="M7" s="252"/>
      <c r="N7" s="251"/>
      <c r="O7" s="252"/>
      <c r="P7" s="252"/>
      <c r="Q7" s="252"/>
      <c r="R7" s="34"/>
      <c r="S7" s="34"/>
      <c r="T7" s="252"/>
      <c r="U7" s="252"/>
      <c r="V7" s="252"/>
      <c r="W7" s="34" t="s">
        <v>17</v>
      </c>
      <c r="X7" s="34" t="s">
        <v>18</v>
      </c>
      <c r="Y7" s="264"/>
      <c r="Z7" s="264"/>
      <c r="AA7" s="252"/>
      <c r="AB7" s="261"/>
      <c r="AC7" s="255"/>
      <c r="AD7" s="256"/>
      <c r="AE7" s="264"/>
      <c r="AF7" s="252"/>
      <c r="AG7" s="252"/>
      <c r="AH7" s="252"/>
      <c r="AI7" s="252"/>
      <c r="AJ7" s="264"/>
      <c r="AK7" s="252"/>
    </row>
    <row r="8" spans="1:46" s="35" customFormat="1" ht="33" customHeight="1" x14ac:dyDescent="0.25">
      <c r="A8" s="42"/>
      <c r="B8" s="42" t="s">
        <v>19</v>
      </c>
      <c r="C8" s="42"/>
      <c r="D8" s="42"/>
      <c r="E8" s="42"/>
      <c r="F8" s="42"/>
      <c r="G8" s="42"/>
      <c r="H8" s="42"/>
      <c r="I8" s="42"/>
      <c r="J8" s="43">
        <f t="shared" ref="J8:Q8" si="0">J9+J13+J17+J23+J25</f>
        <v>24.5</v>
      </c>
      <c r="K8" s="43">
        <f t="shared" si="0"/>
        <v>74</v>
      </c>
      <c r="L8" s="43">
        <f t="shared" si="0"/>
        <v>45</v>
      </c>
      <c r="M8" s="43">
        <f t="shared" si="0"/>
        <v>13</v>
      </c>
      <c r="N8" s="43">
        <f t="shared" si="0"/>
        <v>24.91</v>
      </c>
      <c r="O8" s="43">
        <f t="shared" si="0"/>
        <v>24.59</v>
      </c>
      <c r="P8" s="43">
        <f>P9+P13+P17+P23+P25</f>
        <v>43.03</v>
      </c>
      <c r="Q8" s="43">
        <f t="shared" si="0"/>
        <v>13</v>
      </c>
      <c r="R8" s="42"/>
      <c r="S8" s="42"/>
      <c r="T8" s="44">
        <f>T9+T13+T17+T23+T25</f>
        <v>311831.09999999998</v>
      </c>
      <c r="U8" s="44">
        <f t="shared" ref="U8:AJ8" si="1">U9+U13+U17+U23+U25</f>
        <v>133695</v>
      </c>
      <c r="V8" s="44">
        <f t="shared" si="1"/>
        <v>177357</v>
      </c>
      <c r="W8" s="44">
        <f t="shared" si="1"/>
        <v>0</v>
      </c>
      <c r="X8" s="44">
        <f t="shared" si="1"/>
        <v>779.1</v>
      </c>
      <c r="Y8" s="44">
        <f t="shared" si="1"/>
        <v>5631</v>
      </c>
      <c r="Z8" s="44">
        <f t="shared" si="1"/>
        <v>133695</v>
      </c>
      <c r="AA8" s="44">
        <f t="shared" si="1"/>
        <v>133631</v>
      </c>
      <c r="AB8" s="44">
        <f t="shared" si="1"/>
        <v>15906</v>
      </c>
      <c r="AC8" s="44">
        <f t="shared" si="1"/>
        <v>64100</v>
      </c>
      <c r="AD8" s="44">
        <f t="shared" si="1"/>
        <v>43043</v>
      </c>
      <c r="AE8" s="44">
        <f t="shared" si="1"/>
        <v>0</v>
      </c>
      <c r="AF8" s="45">
        <f t="shared" si="1"/>
        <v>128629.880297</v>
      </c>
      <c r="AG8" s="44">
        <f t="shared" si="1"/>
        <v>64370.1</v>
      </c>
      <c r="AH8" s="44">
        <f t="shared" si="1"/>
        <v>64259.78029699999</v>
      </c>
      <c r="AI8" s="44">
        <f t="shared" si="1"/>
        <v>0</v>
      </c>
      <c r="AJ8" s="44">
        <f t="shared" si="1"/>
        <v>177357</v>
      </c>
      <c r="AK8" s="46"/>
      <c r="AM8" s="33"/>
    </row>
    <row r="9" spans="1:46" s="35" customFormat="1" ht="33" customHeight="1" x14ac:dyDescent="0.25">
      <c r="A9" s="47" t="s">
        <v>0</v>
      </c>
      <c r="B9" s="48" t="s">
        <v>256</v>
      </c>
      <c r="C9" s="47"/>
      <c r="D9" s="47"/>
      <c r="E9" s="47"/>
      <c r="F9" s="47"/>
      <c r="G9" s="47"/>
      <c r="H9" s="47"/>
      <c r="I9" s="47"/>
      <c r="J9" s="49">
        <f>SUM(J10:J12)</f>
        <v>8</v>
      </c>
      <c r="K9" s="47"/>
      <c r="L9" s="49">
        <f>SUM(L10:L12)</f>
        <v>19</v>
      </c>
      <c r="M9" s="47"/>
      <c r="N9" s="47">
        <f>SUM(N10:N12)</f>
        <v>8.41</v>
      </c>
      <c r="O9" s="47"/>
      <c r="P9" s="47">
        <f>SUM(P10:P12)</f>
        <v>19.329999999999998</v>
      </c>
      <c r="Q9" s="47"/>
      <c r="R9" s="47"/>
      <c r="S9" s="47"/>
      <c r="T9" s="39">
        <f>SUM(T10:T12)</f>
        <v>41850</v>
      </c>
      <c r="U9" s="39">
        <f t="shared" ref="U9:AJ9" si="2">SUM(U10:U12)</f>
        <v>41850</v>
      </c>
      <c r="V9" s="39">
        <f t="shared" si="2"/>
        <v>0</v>
      </c>
      <c r="W9" s="39">
        <f t="shared" si="2"/>
        <v>0</v>
      </c>
      <c r="X9" s="39">
        <f t="shared" si="2"/>
        <v>0</v>
      </c>
      <c r="Y9" s="39">
        <f t="shared" si="2"/>
        <v>0</v>
      </c>
      <c r="Z9" s="39">
        <f t="shared" si="2"/>
        <v>41850</v>
      </c>
      <c r="AA9" s="39">
        <f>SUM(AA10:AA12)</f>
        <v>41850</v>
      </c>
      <c r="AB9" s="39">
        <f t="shared" si="2"/>
        <v>4979</v>
      </c>
      <c r="AC9" s="39">
        <f t="shared" si="2"/>
        <v>20064</v>
      </c>
      <c r="AD9" s="39">
        <f t="shared" si="2"/>
        <v>6225</v>
      </c>
      <c r="AE9" s="39">
        <f t="shared" si="2"/>
        <v>0</v>
      </c>
      <c r="AF9" s="39">
        <f t="shared" si="2"/>
        <v>41811.063096999998</v>
      </c>
      <c r="AG9" s="39">
        <f t="shared" si="2"/>
        <v>21638</v>
      </c>
      <c r="AH9" s="39">
        <f t="shared" si="2"/>
        <v>20173.063096999998</v>
      </c>
      <c r="AI9" s="39">
        <f t="shared" si="2"/>
        <v>0</v>
      </c>
      <c r="AJ9" s="39">
        <f t="shared" si="2"/>
        <v>0</v>
      </c>
      <c r="AK9" s="39"/>
      <c r="AS9" s="33"/>
      <c r="AT9" s="33"/>
    </row>
    <row r="10" spans="1:46" ht="50.25" customHeight="1" x14ac:dyDescent="0.25">
      <c r="A10" s="38">
        <v>1</v>
      </c>
      <c r="B10" s="50" t="s">
        <v>21</v>
      </c>
      <c r="C10" s="51" t="s">
        <v>22</v>
      </c>
      <c r="D10" s="52" t="s">
        <v>23</v>
      </c>
      <c r="E10" s="52" t="s">
        <v>24</v>
      </c>
      <c r="F10" s="38" t="s">
        <v>26</v>
      </c>
      <c r="G10" s="53" t="s">
        <v>303</v>
      </c>
      <c r="H10" s="53" t="s">
        <v>350</v>
      </c>
      <c r="I10" s="53" t="s">
        <v>384</v>
      </c>
      <c r="J10" s="53"/>
      <c r="K10" s="53"/>
      <c r="L10" s="54">
        <v>10</v>
      </c>
      <c r="M10" s="53"/>
      <c r="N10" s="53"/>
      <c r="O10" s="53"/>
      <c r="P10" s="53">
        <v>10.85</v>
      </c>
      <c r="Q10" s="53"/>
      <c r="R10" s="38" t="s">
        <v>25</v>
      </c>
      <c r="S10" s="38" t="s">
        <v>25</v>
      </c>
      <c r="T10" s="40">
        <f>U10+W10+X10</f>
        <v>15500</v>
      </c>
      <c r="U10" s="40">
        <v>15500</v>
      </c>
      <c r="V10" s="40"/>
      <c r="W10" s="40"/>
      <c r="X10" s="40"/>
      <c r="Y10" s="40"/>
      <c r="Z10" s="40">
        <v>15500</v>
      </c>
      <c r="AA10" s="40">
        <f>AB10+AC10+AD10</f>
        <v>15500</v>
      </c>
      <c r="AB10" s="40">
        <v>1844</v>
      </c>
      <c r="AC10" s="40">
        <v>7431</v>
      </c>
      <c r="AD10" s="40">
        <v>6225</v>
      </c>
      <c r="AE10" s="40"/>
      <c r="AF10" s="40">
        <v>15487.436</v>
      </c>
      <c r="AG10" s="40">
        <v>6324</v>
      </c>
      <c r="AH10" s="40">
        <f>AF10-AG10</f>
        <v>9163.4359999999997</v>
      </c>
      <c r="AI10" s="40"/>
      <c r="AJ10" s="40">
        <f t="shared" ref="AJ10:AJ28" si="3">U10-AA10</f>
        <v>0</v>
      </c>
      <c r="AK10" s="55"/>
      <c r="AS10" s="32"/>
      <c r="AT10" s="32"/>
    </row>
    <row r="11" spans="1:46" ht="81" customHeight="1" x14ac:dyDescent="0.25">
      <c r="A11" s="38">
        <v>2</v>
      </c>
      <c r="B11" s="50" t="s">
        <v>27</v>
      </c>
      <c r="C11" s="56" t="s">
        <v>28</v>
      </c>
      <c r="D11" s="52" t="s">
        <v>23</v>
      </c>
      <c r="E11" s="52" t="s">
        <v>24</v>
      </c>
      <c r="F11" s="38" t="s">
        <v>30</v>
      </c>
      <c r="G11" s="38" t="s">
        <v>304</v>
      </c>
      <c r="H11" s="38" t="s">
        <v>351</v>
      </c>
      <c r="I11" s="38" t="s">
        <v>384</v>
      </c>
      <c r="J11" s="38"/>
      <c r="K11" s="38"/>
      <c r="L11" s="57">
        <v>9</v>
      </c>
      <c r="M11" s="38"/>
      <c r="N11" s="38"/>
      <c r="O11" s="38"/>
      <c r="P11" s="38">
        <v>8.48</v>
      </c>
      <c r="Q11" s="38"/>
      <c r="R11" s="38" t="s">
        <v>29</v>
      </c>
      <c r="S11" s="38" t="s">
        <v>29</v>
      </c>
      <c r="T11" s="40">
        <f>U11+W11+X11</f>
        <v>13950</v>
      </c>
      <c r="U11" s="40">
        <v>13950</v>
      </c>
      <c r="V11" s="40"/>
      <c r="W11" s="40"/>
      <c r="X11" s="40"/>
      <c r="Y11" s="40"/>
      <c r="Z11" s="40">
        <v>13950</v>
      </c>
      <c r="AA11" s="40">
        <v>13950</v>
      </c>
      <c r="AB11" s="40">
        <v>1660</v>
      </c>
      <c r="AC11" s="40">
        <v>6688</v>
      </c>
      <c r="AD11" s="40"/>
      <c r="AE11" s="40"/>
      <c r="AF11" s="28">
        <v>13923.627097000001</v>
      </c>
      <c r="AG11" s="40">
        <v>7894</v>
      </c>
      <c r="AH11" s="40">
        <f t="shared" ref="AH11:AH12" si="4">AF11-AG11</f>
        <v>6029.6270970000005</v>
      </c>
      <c r="AI11" s="40"/>
      <c r="AJ11" s="40">
        <f t="shared" si="3"/>
        <v>0</v>
      </c>
      <c r="AK11" s="29" t="s">
        <v>483</v>
      </c>
      <c r="AS11" s="32"/>
      <c r="AT11" s="32"/>
    </row>
    <row r="12" spans="1:46" ht="81.75" customHeight="1" x14ac:dyDescent="0.25">
      <c r="A12" s="38">
        <v>3</v>
      </c>
      <c r="B12" s="50" t="s">
        <v>31</v>
      </c>
      <c r="C12" s="58" t="s">
        <v>32</v>
      </c>
      <c r="D12" s="52" t="s">
        <v>23</v>
      </c>
      <c r="E12" s="52" t="s">
        <v>24</v>
      </c>
      <c r="F12" s="38" t="s">
        <v>34</v>
      </c>
      <c r="G12" s="38" t="s">
        <v>305</v>
      </c>
      <c r="H12" s="38" t="s">
        <v>352</v>
      </c>
      <c r="I12" s="38" t="s">
        <v>384</v>
      </c>
      <c r="J12" s="57">
        <v>8</v>
      </c>
      <c r="K12" s="38"/>
      <c r="L12" s="38"/>
      <c r="M12" s="38"/>
      <c r="N12" s="38">
        <v>8.41</v>
      </c>
      <c r="O12" s="38"/>
      <c r="P12" s="38"/>
      <c r="Q12" s="38"/>
      <c r="R12" s="38" t="s">
        <v>33</v>
      </c>
      <c r="S12" s="38" t="s">
        <v>33</v>
      </c>
      <c r="T12" s="40">
        <f t="shared" ref="T12:T28" si="5">U12+W12+X12</f>
        <v>12400</v>
      </c>
      <c r="U12" s="40">
        <v>12400</v>
      </c>
      <c r="V12" s="40"/>
      <c r="W12" s="40"/>
      <c r="X12" s="40"/>
      <c r="Y12" s="40"/>
      <c r="Z12" s="40">
        <v>12400</v>
      </c>
      <c r="AA12" s="28">
        <v>12400</v>
      </c>
      <c r="AB12" s="40">
        <v>1475</v>
      </c>
      <c r="AC12" s="40">
        <v>5945</v>
      </c>
      <c r="AD12" s="40"/>
      <c r="AE12" s="40"/>
      <c r="AF12" s="28">
        <v>12400</v>
      </c>
      <c r="AG12" s="40">
        <v>7420</v>
      </c>
      <c r="AH12" s="40">
        <f t="shared" si="4"/>
        <v>4980</v>
      </c>
      <c r="AI12" s="40"/>
      <c r="AJ12" s="40"/>
      <c r="AK12" s="29" t="s">
        <v>484</v>
      </c>
      <c r="AS12" s="32"/>
      <c r="AT12" s="32"/>
    </row>
    <row r="13" spans="1:46" s="35" customFormat="1" ht="34.5" customHeight="1" x14ac:dyDescent="0.25">
      <c r="A13" s="47" t="s">
        <v>1</v>
      </c>
      <c r="B13" s="59" t="s">
        <v>261</v>
      </c>
      <c r="C13" s="60"/>
      <c r="D13" s="61"/>
      <c r="E13" s="61"/>
      <c r="F13" s="47"/>
      <c r="G13" s="47"/>
      <c r="H13" s="47"/>
      <c r="I13" s="47"/>
      <c r="J13" s="47"/>
      <c r="K13" s="47">
        <f>SUM(K14:K16)</f>
        <v>34.5</v>
      </c>
      <c r="L13" s="47"/>
      <c r="M13" s="47"/>
      <c r="N13" s="47"/>
      <c r="O13" s="47">
        <f>SUM(O14:O16)</f>
        <v>14.99</v>
      </c>
      <c r="P13" s="47"/>
      <c r="Q13" s="47"/>
      <c r="R13" s="47"/>
      <c r="S13" s="47"/>
      <c r="T13" s="39">
        <f t="shared" ref="T13:AJ13" si="6">SUM(T14:T16)</f>
        <v>78231.5</v>
      </c>
      <c r="U13" s="39">
        <f t="shared" si="6"/>
        <v>10150</v>
      </c>
      <c r="V13" s="39">
        <f t="shared" si="6"/>
        <v>67777</v>
      </c>
      <c r="W13" s="39">
        <f t="shared" si="6"/>
        <v>0</v>
      </c>
      <c r="X13" s="39">
        <f t="shared" si="6"/>
        <v>304.5</v>
      </c>
      <c r="Y13" s="39">
        <f t="shared" si="6"/>
        <v>0</v>
      </c>
      <c r="Z13" s="39">
        <f t="shared" si="6"/>
        <v>10150</v>
      </c>
      <c r="AA13" s="39">
        <f t="shared" si="6"/>
        <v>10150</v>
      </c>
      <c r="AB13" s="39">
        <f t="shared" si="6"/>
        <v>1208</v>
      </c>
      <c r="AC13" s="39">
        <f t="shared" si="6"/>
        <v>4867</v>
      </c>
      <c r="AD13" s="39">
        <f t="shared" si="6"/>
        <v>4075</v>
      </c>
      <c r="AE13" s="39">
        <f t="shared" si="6"/>
        <v>0</v>
      </c>
      <c r="AF13" s="39">
        <f t="shared" si="6"/>
        <v>9870.8860000000004</v>
      </c>
      <c r="AG13" s="39">
        <f t="shared" si="6"/>
        <v>5111</v>
      </c>
      <c r="AH13" s="39">
        <f t="shared" si="6"/>
        <v>4759.8860000000004</v>
      </c>
      <c r="AI13" s="39">
        <f t="shared" si="6"/>
        <v>0</v>
      </c>
      <c r="AJ13" s="39">
        <f t="shared" si="6"/>
        <v>67777</v>
      </c>
      <c r="AK13" s="39"/>
      <c r="AS13" s="33"/>
      <c r="AT13" s="33"/>
    </row>
    <row r="14" spans="1:46" ht="87" customHeight="1" x14ac:dyDescent="0.25">
      <c r="A14" s="38">
        <v>1</v>
      </c>
      <c r="B14" s="50" t="s">
        <v>336</v>
      </c>
      <c r="C14" s="38" t="s">
        <v>248</v>
      </c>
      <c r="D14" s="38" t="s">
        <v>23</v>
      </c>
      <c r="E14" s="38" t="s">
        <v>249</v>
      </c>
      <c r="F14" s="38"/>
      <c r="G14" s="38" t="s">
        <v>331</v>
      </c>
      <c r="H14" s="38"/>
      <c r="I14" s="38" t="s">
        <v>390</v>
      </c>
      <c r="J14" s="38"/>
      <c r="K14" s="38">
        <v>20</v>
      </c>
      <c r="L14" s="38"/>
      <c r="M14" s="38"/>
      <c r="N14" s="38"/>
      <c r="O14" s="38"/>
      <c r="P14" s="38"/>
      <c r="Q14" s="38"/>
      <c r="R14" s="38" t="s">
        <v>439</v>
      </c>
      <c r="S14" s="38"/>
      <c r="T14" s="40">
        <f>U14+W14+V14+X14</f>
        <v>67777</v>
      </c>
      <c r="U14" s="40"/>
      <c r="V14" s="40">
        <v>67777</v>
      </c>
      <c r="W14" s="40"/>
      <c r="X14" s="40"/>
      <c r="Y14" s="40"/>
      <c r="Z14" s="40"/>
      <c r="AA14" s="40"/>
      <c r="AB14" s="40"/>
      <c r="AC14" s="38"/>
      <c r="AD14" s="38"/>
      <c r="AE14" s="38"/>
      <c r="AF14" s="38"/>
      <c r="AG14" s="38"/>
      <c r="AH14" s="40"/>
      <c r="AI14" s="40"/>
      <c r="AJ14" s="40">
        <f>V14</f>
        <v>67777</v>
      </c>
      <c r="AK14" s="38" t="s">
        <v>472</v>
      </c>
      <c r="AS14" s="32"/>
      <c r="AT14" s="32"/>
    </row>
    <row r="15" spans="1:46" ht="99" customHeight="1" x14ac:dyDescent="0.25">
      <c r="A15" s="38">
        <v>2</v>
      </c>
      <c r="B15" s="50" t="s">
        <v>35</v>
      </c>
      <c r="C15" s="62" t="s">
        <v>36</v>
      </c>
      <c r="D15" s="52" t="s">
        <v>23</v>
      </c>
      <c r="E15" s="52" t="s">
        <v>37</v>
      </c>
      <c r="F15" s="38" t="s">
        <v>39</v>
      </c>
      <c r="G15" s="38" t="s">
        <v>306</v>
      </c>
      <c r="H15" s="38" t="s">
        <v>338</v>
      </c>
      <c r="I15" s="38" t="s">
        <v>384</v>
      </c>
      <c r="J15" s="38"/>
      <c r="K15" s="38">
        <v>8.5</v>
      </c>
      <c r="L15" s="38"/>
      <c r="M15" s="38"/>
      <c r="N15" s="38"/>
      <c r="O15" s="38">
        <v>8.5</v>
      </c>
      <c r="P15" s="38"/>
      <c r="Q15" s="38"/>
      <c r="R15" s="38" t="s">
        <v>38</v>
      </c>
      <c r="S15" s="38" t="s">
        <v>466</v>
      </c>
      <c r="T15" s="40">
        <f t="shared" si="5"/>
        <v>6128.5</v>
      </c>
      <c r="U15" s="40">
        <v>5950</v>
      </c>
      <c r="V15" s="40"/>
      <c r="W15" s="40"/>
      <c r="X15" s="40">
        <v>178.5</v>
      </c>
      <c r="Y15" s="40"/>
      <c r="Z15" s="40">
        <v>5950</v>
      </c>
      <c r="AA15" s="40">
        <v>5950</v>
      </c>
      <c r="AB15" s="40">
        <v>708</v>
      </c>
      <c r="AC15" s="40">
        <v>2853</v>
      </c>
      <c r="AD15" s="40">
        <f>AA15-AB15-AC15</f>
        <v>2389</v>
      </c>
      <c r="AE15" s="40"/>
      <c r="AF15" s="27">
        <v>5749.482</v>
      </c>
      <c r="AG15" s="40">
        <v>3561</v>
      </c>
      <c r="AH15" s="40">
        <f>AF15-AG15</f>
        <v>2188.482</v>
      </c>
      <c r="AI15" s="40"/>
      <c r="AJ15" s="40">
        <f t="shared" si="3"/>
        <v>0</v>
      </c>
      <c r="AK15" s="265" t="s">
        <v>508</v>
      </c>
      <c r="AL15" s="38"/>
      <c r="AN15" s="32"/>
      <c r="AS15" s="32"/>
      <c r="AT15" s="32"/>
    </row>
    <row r="16" spans="1:46" ht="47.25" customHeight="1" x14ac:dyDescent="0.25">
      <c r="A16" s="38">
        <v>3</v>
      </c>
      <c r="B16" s="50" t="s">
        <v>40</v>
      </c>
      <c r="C16" s="63" t="s">
        <v>41</v>
      </c>
      <c r="D16" s="52" t="s">
        <v>23</v>
      </c>
      <c r="E16" s="52" t="s">
        <v>37</v>
      </c>
      <c r="F16" s="38" t="s">
        <v>43</v>
      </c>
      <c r="G16" s="38" t="s">
        <v>307</v>
      </c>
      <c r="H16" s="38" t="s">
        <v>339</v>
      </c>
      <c r="I16" s="38" t="s">
        <v>384</v>
      </c>
      <c r="J16" s="38"/>
      <c r="K16" s="38">
        <v>6</v>
      </c>
      <c r="L16" s="38"/>
      <c r="M16" s="38"/>
      <c r="N16" s="38"/>
      <c r="O16" s="38">
        <v>6.49</v>
      </c>
      <c r="P16" s="38"/>
      <c r="Q16" s="38"/>
      <c r="R16" s="38" t="s">
        <v>42</v>
      </c>
      <c r="S16" s="38" t="s">
        <v>436</v>
      </c>
      <c r="T16" s="40">
        <f t="shared" si="5"/>
        <v>4326</v>
      </c>
      <c r="U16" s="40">
        <v>4200</v>
      </c>
      <c r="V16" s="40"/>
      <c r="W16" s="40"/>
      <c r="X16" s="40">
        <v>126</v>
      </c>
      <c r="Y16" s="40"/>
      <c r="Z16" s="40">
        <v>4200</v>
      </c>
      <c r="AA16" s="40">
        <v>4200</v>
      </c>
      <c r="AB16" s="40">
        <v>500</v>
      </c>
      <c r="AC16" s="40">
        <v>2014</v>
      </c>
      <c r="AD16" s="40">
        <f>AA16-AB16-AC16</f>
        <v>1686</v>
      </c>
      <c r="AE16" s="40"/>
      <c r="AF16" s="27">
        <v>4121.4040000000005</v>
      </c>
      <c r="AG16" s="40">
        <v>1550</v>
      </c>
      <c r="AH16" s="40">
        <f>AF16-AG16</f>
        <v>2571.4040000000005</v>
      </c>
      <c r="AI16" s="40"/>
      <c r="AJ16" s="40">
        <f t="shared" si="3"/>
        <v>0</v>
      </c>
      <c r="AK16" s="265"/>
      <c r="AL16" s="38"/>
      <c r="AS16" s="32"/>
      <c r="AT16" s="32"/>
    </row>
    <row r="17" spans="1:46" s="35" customFormat="1" ht="42.75" customHeight="1" x14ac:dyDescent="0.25">
      <c r="A17" s="47" t="s">
        <v>265</v>
      </c>
      <c r="B17" s="59" t="s">
        <v>266</v>
      </c>
      <c r="C17" s="64"/>
      <c r="D17" s="61"/>
      <c r="E17" s="61"/>
      <c r="F17" s="47"/>
      <c r="G17" s="47"/>
      <c r="H17" s="47"/>
      <c r="I17" s="47"/>
      <c r="J17" s="47"/>
      <c r="K17" s="49">
        <f>SUM(K18:K22)</f>
        <v>38</v>
      </c>
      <c r="L17" s="49">
        <f>SUM(L18:L22)</f>
        <v>2.5</v>
      </c>
      <c r="M17" s="47"/>
      <c r="N17" s="47"/>
      <c r="O17" s="49">
        <f>SUM(O18:O22)</f>
        <v>8.1</v>
      </c>
      <c r="P17" s="49">
        <f>SUM(P18:P22)</f>
        <v>2.5</v>
      </c>
      <c r="Q17" s="47"/>
      <c r="R17" s="47"/>
      <c r="S17" s="47"/>
      <c r="T17" s="39">
        <f t="shared" ref="T17:AJ17" si="7">SUM(T18:T22)</f>
        <v>119295.09999999999</v>
      </c>
      <c r="U17" s="39">
        <f t="shared" si="7"/>
        <v>9545</v>
      </c>
      <c r="V17" s="39">
        <f t="shared" si="7"/>
        <v>109580</v>
      </c>
      <c r="W17" s="39">
        <f t="shared" si="7"/>
        <v>0</v>
      </c>
      <c r="X17" s="39">
        <f t="shared" si="7"/>
        <v>170.1</v>
      </c>
      <c r="Y17" s="39">
        <f t="shared" si="7"/>
        <v>170</v>
      </c>
      <c r="Z17" s="39">
        <f t="shared" si="7"/>
        <v>9545</v>
      </c>
      <c r="AA17" s="39">
        <f>SUM(AA18:AA22)</f>
        <v>9545</v>
      </c>
      <c r="AB17" s="39">
        <f t="shared" si="7"/>
        <v>1136</v>
      </c>
      <c r="AC17" s="39">
        <f t="shared" si="7"/>
        <v>4576</v>
      </c>
      <c r="AD17" s="39">
        <f t="shared" si="7"/>
        <v>3833</v>
      </c>
      <c r="AE17" s="39">
        <f t="shared" si="7"/>
        <v>0</v>
      </c>
      <c r="AF17" s="39">
        <f t="shared" si="7"/>
        <v>9279.56</v>
      </c>
      <c r="AG17" s="39">
        <f t="shared" si="7"/>
        <v>4651.1000000000004</v>
      </c>
      <c r="AH17" s="39">
        <f t="shared" si="7"/>
        <v>4628.4599999999991</v>
      </c>
      <c r="AI17" s="39">
        <f t="shared" si="7"/>
        <v>0</v>
      </c>
      <c r="AJ17" s="39">
        <f t="shared" si="7"/>
        <v>109580</v>
      </c>
      <c r="AK17" s="39"/>
      <c r="AS17" s="33"/>
      <c r="AT17" s="33"/>
    </row>
    <row r="18" spans="1:46" ht="93.75" customHeight="1" x14ac:dyDescent="0.25">
      <c r="A18" s="38">
        <v>1</v>
      </c>
      <c r="B18" s="50" t="s">
        <v>337</v>
      </c>
      <c r="C18" s="38" t="s">
        <v>250</v>
      </c>
      <c r="D18" s="38" t="s">
        <v>23</v>
      </c>
      <c r="E18" s="38" t="s">
        <v>249</v>
      </c>
      <c r="F18" s="38"/>
      <c r="G18" s="38" t="s">
        <v>330</v>
      </c>
      <c r="H18" s="38"/>
      <c r="I18" s="38" t="s">
        <v>390</v>
      </c>
      <c r="J18" s="38"/>
      <c r="K18" s="38">
        <v>20.5</v>
      </c>
      <c r="L18" s="38"/>
      <c r="M18" s="38"/>
      <c r="N18" s="38"/>
      <c r="O18" s="38"/>
      <c r="P18" s="38"/>
      <c r="Q18" s="38"/>
      <c r="R18" s="38"/>
      <c r="S18" s="38"/>
      <c r="T18" s="40">
        <f>U18+W18+V18+X18</f>
        <v>59416</v>
      </c>
      <c r="U18" s="40"/>
      <c r="V18" s="40">
        <v>59416</v>
      </c>
      <c r="W18" s="40"/>
      <c r="X18" s="40"/>
      <c r="Y18" s="40"/>
      <c r="Z18" s="40"/>
      <c r="AA18" s="40"/>
      <c r="AB18" s="40"/>
      <c r="AC18" s="38"/>
      <c r="AD18" s="38"/>
      <c r="AE18" s="38"/>
      <c r="AF18" s="38"/>
      <c r="AG18" s="38"/>
      <c r="AH18" s="40"/>
      <c r="AI18" s="40"/>
      <c r="AJ18" s="40">
        <f>V18</f>
        <v>59416</v>
      </c>
      <c r="AK18" s="38" t="s">
        <v>472</v>
      </c>
      <c r="AS18" s="32"/>
      <c r="AT18" s="32"/>
    </row>
    <row r="19" spans="1:46" ht="96.75" customHeight="1" x14ac:dyDescent="0.25">
      <c r="A19" s="38">
        <v>2</v>
      </c>
      <c r="B19" s="50" t="s">
        <v>251</v>
      </c>
      <c r="C19" s="38" t="s">
        <v>252</v>
      </c>
      <c r="D19" s="38" t="s">
        <v>23</v>
      </c>
      <c r="E19" s="38" t="s">
        <v>249</v>
      </c>
      <c r="F19" s="38"/>
      <c r="G19" s="38" t="s">
        <v>329</v>
      </c>
      <c r="H19" s="38"/>
      <c r="I19" s="38" t="s">
        <v>390</v>
      </c>
      <c r="J19" s="38"/>
      <c r="K19" s="38">
        <v>9.4</v>
      </c>
      <c r="L19" s="38"/>
      <c r="M19" s="38"/>
      <c r="N19" s="38"/>
      <c r="O19" s="38"/>
      <c r="P19" s="38"/>
      <c r="Q19" s="38"/>
      <c r="R19" s="38"/>
      <c r="S19" s="38"/>
      <c r="T19" s="40">
        <f>U19+W19+V19+X19</f>
        <v>50164</v>
      </c>
      <c r="U19" s="40"/>
      <c r="V19" s="40">
        <v>50164</v>
      </c>
      <c r="W19" s="40"/>
      <c r="X19" s="40"/>
      <c r="Y19" s="40"/>
      <c r="Z19" s="40"/>
      <c r="AA19" s="40"/>
      <c r="AB19" s="40"/>
      <c r="AC19" s="38"/>
      <c r="AD19" s="38"/>
      <c r="AE19" s="38"/>
      <c r="AF19" s="38"/>
      <c r="AG19" s="38"/>
      <c r="AH19" s="40"/>
      <c r="AI19" s="40"/>
      <c r="AJ19" s="40">
        <f>V19</f>
        <v>50164</v>
      </c>
      <c r="AK19" s="38" t="s">
        <v>472</v>
      </c>
      <c r="AS19" s="32"/>
      <c r="AT19" s="32"/>
    </row>
    <row r="20" spans="1:46" ht="74.25" customHeight="1" x14ac:dyDescent="0.25">
      <c r="A20" s="38">
        <v>3</v>
      </c>
      <c r="B20" s="65" t="s">
        <v>44</v>
      </c>
      <c r="C20" s="66" t="s">
        <v>45</v>
      </c>
      <c r="D20" s="52" t="s">
        <v>23</v>
      </c>
      <c r="E20" s="52" t="s">
        <v>37</v>
      </c>
      <c r="F20" s="38" t="s">
        <v>47</v>
      </c>
      <c r="G20" s="38" t="s">
        <v>308</v>
      </c>
      <c r="H20" s="38" t="s">
        <v>308</v>
      </c>
      <c r="I20" s="38" t="s">
        <v>384</v>
      </c>
      <c r="J20" s="38"/>
      <c r="K20" s="38">
        <v>5.7</v>
      </c>
      <c r="L20" s="38"/>
      <c r="M20" s="38"/>
      <c r="N20" s="38"/>
      <c r="O20" s="38">
        <v>5.7</v>
      </c>
      <c r="P20" s="38"/>
      <c r="Q20" s="38"/>
      <c r="R20" s="38" t="s">
        <v>46</v>
      </c>
      <c r="S20" s="38" t="s">
        <v>46</v>
      </c>
      <c r="T20" s="40">
        <f t="shared" si="5"/>
        <v>4109.7</v>
      </c>
      <c r="U20" s="40">
        <v>3990</v>
      </c>
      <c r="V20" s="40"/>
      <c r="W20" s="40"/>
      <c r="X20" s="40">
        <v>119.7</v>
      </c>
      <c r="Y20" s="40">
        <v>120</v>
      </c>
      <c r="Z20" s="40">
        <v>3990</v>
      </c>
      <c r="AA20" s="40">
        <f>AB20+AC20+AD20</f>
        <v>3990</v>
      </c>
      <c r="AB20" s="40">
        <v>475</v>
      </c>
      <c r="AC20" s="40">
        <v>1913</v>
      </c>
      <c r="AD20" s="40">
        <v>1602</v>
      </c>
      <c r="AE20" s="40"/>
      <c r="AF20" s="40">
        <v>3904.9209999999998</v>
      </c>
      <c r="AG20" s="40">
        <v>2388</v>
      </c>
      <c r="AH20" s="40">
        <f>AF20-AG20</f>
        <v>1516.9209999999998</v>
      </c>
      <c r="AI20" s="40"/>
      <c r="AJ20" s="40">
        <f t="shared" si="3"/>
        <v>0</v>
      </c>
      <c r="AK20" s="55" t="s">
        <v>510</v>
      </c>
      <c r="AS20" s="32"/>
      <c r="AT20" s="32"/>
    </row>
    <row r="21" spans="1:46" ht="105.75" customHeight="1" x14ac:dyDescent="0.25">
      <c r="A21" s="38">
        <v>4</v>
      </c>
      <c r="B21" s="50" t="s">
        <v>48</v>
      </c>
      <c r="C21" s="67" t="s">
        <v>49</v>
      </c>
      <c r="D21" s="52" t="s">
        <v>23</v>
      </c>
      <c r="E21" s="52" t="s">
        <v>37</v>
      </c>
      <c r="F21" s="38" t="s">
        <v>51</v>
      </c>
      <c r="G21" s="38" t="s">
        <v>309</v>
      </c>
      <c r="H21" s="38" t="s">
        <v>309</v>
      </c>
      <c r="I21" s="38" t="s">
        <v>384</v>
      </c>
      <c r="J21" s="38"/>
      <c r="K21" s="38">
        <v>2.4</v>
      </c>
      <c r="L21" s="38"/>
      <c r="M21" s="38"/>
      <c r="N21" s="38"/>
      <c r="O21" s="38">
        <v>2.4</v>
      </c>
      <c r="P21" s="38"/>
      <c r="Q21" s="38"/>
      <c r="R21" s="38" t="s">
        <v>50</v>
      </c>
      <c r="S21" s="38" t="s">
        <v>50</v>
      </c>
      <c r="T21" s="40">
        <f t="shared" si="5"/>
        <v>1730.4</v>
      </c>
      <c r="U21" s="40">
        <v>1680</v>
      </c>
      <c r="V21" s="40"/>
      <c r="W21" s="40"/>
      <c r="X21" s="40">
        <v>50.4</v>
      </c>
      <c r="Y21" s="40">
        <v>50</v>
      </c>
      <c r="Z21" s="40">
        <v>1680</v>
      </c>
      <c r="AA21" s="40">
        <f>AB21+AC21+AD21</f>
        <v>1680</v>
      </c>
      <c r="AB21" s="40">
        <v>200</v>
      </c>
      <c r="AC21" s="40">
        <v>805</v>
      </c>
      <c r="AD21" s="40">
        <v>675</v>
      </c>
      <c r="AE21" s="40"/>
      <c r="AF21" s="40">
        <v>1667.6569999999999</v>
      </c>
      <c r="AG21" s="40">
        <v>1005</v>
      </c>
      <c r="AH21" s="40">
        <f>AF21-AG21</f>
        <v>662.65699999999993</v>
      </c>
      <c r="AI21" s="40"/>
      <c r="AJ21" s="40">
        <f t="shared" si="3"/>
        <v>0</v>
      </c>
      <c r="AK21" s="55" t="s">
        <v>473</v>
      </c>
      <c r="AS21" s="32"/>
      <c r="AT21" s="32"/>
    </row>
    <row r="22" spans="1:46" ht="67.5" customHeight="1" x14ac:dyDescent="0.25">
      <c r="A22" s="38">
        <v>5</v>
      </c>
      <c r="B22" s="50" t="s">
        <v>52</v>
      </c>
      <c r="C22" s="68" t="s">
        <v>53</v>
      </c>
      <c r="D22" s="52" t="s">
        <v>23</v>
      </c>
      <c r="E22" s="52" t="s">
        <v>24</v>
      </c>
      <c r="F22" s="38" t="s">
        <v>55</v>
      </c>
      <c r="G22" s="38" t="s">
        <v>310</v>
      </c>
      <c r="H22" s="38" t="s">
        <v>310</v>
      </c>
      <c r="I22" s="38" t="s">
        <v>384</v>
      </c>
      <c r="J22" s="38"/>
      <c r="K22" s="38"/>
      <c r="L22" s="38">
        <v>2.5</v>
      </c>
      <c r="M22" s="38"/>
      <c r="N22" s="38"/>
      <c r="O22" s="38"/>
      <c r="P22" s="38">
        <v>2.5</v>
      </c>
      <c r="Q22" s="38"/>
      <c r="R22" s="38" t="s">
        <v>54</v>
      </c>
      <c r="S22" s="38" t="s">
        <v>54</v>
      </c>
      <c r="T22" s="40">
        <f t="shared" si="5"/>
        <v>3875</v>
      </c>
      <c r="U22" s="40">
        <v>3875</v>
      </c>
      <c r="V22" s="40"/>
      <c r="W22" s="40"/>
      <c r="X22" s="40"/>
      <c r="Y22" s="40"/>
      <c r="Z22" s="40">
        <v>3875</v>
      </c>
      <c r="AA22" s="40">
        <f>AB22+AC22+AD22</f>
        <v>3875</v>
      </c>
      <c r="AB22" s="40">
        <v>461</v>
      </c>
      <c r="AC22" s="40">
        <v>1858</v>
      </c>
      <c r="AD22" s="40">
        <v>1556</v>
      </c>
      <c r="AE22" s="40"/>
      <c r="AF22" s="40">
        <v>3706.982</v>
      </c>
      <c r="AG22" s="69">
        <v>1258.0999999999999</v>
      </c>
      <c r="AH22" s="40">
        <f>AF22-AG22</f>
        <v>2448.8820000000001</v>
      </c>
      <c r="AI22" s="40"/>
      <c r="AJ22" s="40">
        <f t="shared" si="3"/>
        <v>0</v>
      </c>
      <c r="AK22" s="55"/>
      <c r="AS22" s="32"/>
      <c r="AT22" s="32"/>
    </row>
    <row r="23" spans="1:46" s="35" customFormat="1" ht="43.5" customHeight="1" x14ac:dyDescent="0.25">
      <c r="A23" s="47" t="s">
        <v>270</v>
      </c>
      <c r="B23" s="59" t="s">
        <v>386</v>
      </c>
      <c r="C23" s="70"/>
      <c r="D23" s="61"/>
      <c r="E23" s="61"/>
      <c r="F23" s="47"/>
      <c r="G23" s="47"/>
      <c r="H23" s="47"/>
      <c r="I23" s="47"/>
      <c r="J23" s="47"/>
      <c r="K23" s="47"/>
      <c r="L23" s="47"/>
      <c r="M23" s="49">
        <f>M24</f>
        <v>13</v>
      </c>
      <c r="N23" s="47"/>
      <c r="O23" s="47"/>
      <c r="P23" s="47"/>
      <c r="Q23" s="49">
        <f>Q24</f>
        <v>13</v>
      </c>
      <c r="R23" s="47"/>
      <c r="S23" s="47"/>
      <c r="T23" s="39">
        <f>T24</f>
        <v>9373</v>
      </c>
      <c r="U23" s="39">
        <f t="shared" ref="U23:AJ23" si="8">U24</f>
        <v>9100</v>
      </c>
      <c r="V23" s="39">
        <f t="shared" si="8"/>
        <v>0</v>
      </c>
      <c r="W23" s="39">
        <f t="shared" si="8"/>
        <v>0</v>
      </c>
      <c r="X23" s="39">
        <f t="shared" si="8"/>
        <v>273</v>
      </c>
      <c r="Y23" s="39">
        <f>Y24</f>
        <v>273</v>
      </c>
      <c r="Z23" s="39">
        <f t="shared" si="8"/>
        <v>9100</v>
      </c>
      <c r="AA23" s="39">
        <f t="shared" si="8"/>
        <v>9036</v>
      </c>
      <c r="AB23" s="39">
        <f t="shared" si="8"/>
        <v>1083</v>
      </c>
      <c r="AC23" s="39">
        <f t="shared" si="8"/>
        <v>4363</v>
      </c>
      <c r="AD23" s="39">
        <f t="shared" si="8"/>
        <v>3590</v>
      </c>
      <c r="AE23" s="39"/>
      <c r="AF23" s="39">
        <f t="shared" si="8"/>
        <v>5976</v>
      </c>
      <c r="AG23" s="39">
        <f t="shared" si="8"/>
        <v>5220</v>
      </c>
      <c r="AH23" s="39">
        <f t="shared" si="8"/>
        <v>756</v>
      </c>
      <c r="AI23" s="39"/>
      <c r="AJ23" s="39">
        <f t="shared" si="8"/>
        <v>0</v>
      </c>
      <c r="AK23" s="39"/>
      <c r="AS23" s="33"/>
      <c r="AT23" s="33"/>
    </row>
    <row r="24" spans="1:46" ht="89.25" customHeight="1" x14ac:dyDescent="0.25">
      <c r="A24" s="38">
        <v>1</v>
      </c>
      <c r="B24" s="50" t="s">
        <v>56</v>
      </c>
      <c r="C24" s="71" t="s">
        <v>57</v>
      </c>
      <c r="D24" s="52" t="s">
        <v>23</v>
      </c>
      <c r="E24" s="52" t="s">
        <v>37</v>
      </c>
      <c r="F24" s="38" t="s">
        <v>58</v>
      </c>
      <c r="G24" s="38" t="s">
        <v>311</v>
      </c>
      <c r="H24" s="38" t="s">
        <v>311</v>
      </c>
      <c r="I24" s="38" t="s">
        <v>384</v>
      </c>
      <c r="J24" s="38"/>
      <c r="K24" s="38"/>
      <c r="L24" s="38"/>
      <c r="M24" s="57">
        <v>13</v>
      </c>
      <c r="N24" s="38"/>
      <c r="O24" s="38"/>
      <c r="P24" s="38"/>
      <c r="Q24" s="57">
        <v>13</v>
      </c>
      <c r="R24" s="38" t="s">
        <v>54</v>
      </c>
      <c r="S24" s="38" t="s">
        <v>54</v>
      </c>
      <c r="T24" s="40">
        <f t="shared" si="5"/>
        <v>9373</v>
      </c>
      <c r="U24" s="40">
        <v>9100</v>
      </c>
      <c r="V24" s="40"/>
      <c r="W24" s="40"/>
      <c r="X24" s="40">
        <v>273</v>
      </c>
      <c r="Y24" s="40">
        <v>273</v>
      </c>
      <c r="Z24" s="40">
        <v>9100</v>
      </c>
      <c r="AA24" s="40">
        <f>AB24+AC24+AD24</f>
        <v>9036</v>
      </c>
      <c r="AB24" s="40">
        <v>1083</v>
      </c>
      <c r="AC24" s="40">
        <v>4363</v>
      </c>
      <c r="AD24" s="40">
        <v>3590</v>
      </c>
      <c r="AE24" s="40"/>
      <c r="AF24" s="40">
        <v>5976</v>
      </c>
      <c r="AG24" s="40">
        <v>5220</v>
      </c>
      <c r="AH24" s="40">
        <f>AF24-AG24</f>
        <v>756</v>
      </c>
      <c r="AI24" s="40"/>
      <c r="AJ24" s="40">
        <v>0</v>
      </c>
      <c r="AK24" s="55" t="s">
        <v>511</v>
      </c>
      <c r="AS24" s="32"/>
      <c r="AT24" s="32"/>
    </row>
    <row r="25" spans="1:46" s="35" customFormat="1" ht="44.25" customHeight="1" x14ac:dyDescent="0.25">
      <c r="A25" s="47" t="s">
        <v>275</v>
      </c>
      <c r="B25" s="59" t="s">
        <v>271</v>
      </c>
      <c r="C25" s="72"/>
      <c r="D25" s="61"/>
      <c r="E25" s="61"/>
      <c r="F25" s="47"/>
      <c r="G25" s="47"/>
      <c r="H25" s="47"/>
      <c r="I25" s="47"/>
      <c r="J25" s="47">
        <f>SUM(J26:J28)</f>
        <v>16.5</v>
      </c>
      <c r="K25" s="47">
        <f>SUM(K26:K28)</f>
        <v>1.5</v>
      </c>
      <c r="L25" s="47">
        <f>SUM(L26:L28)</f>
        <v>23.5</v>
      </c>
      <c r="M25" s="47"/>
      <c r="N25" s="47">
        <f>SUM(N26:N28)</f>
        <v>16.5</v>
      </c>
      <c r="O25" s="47">
        <f>SUM(O26:O28)</f>
        <v>1.5</v>
      </c>
      <c r="P25" s="47">
        <f>SUM(P26:P28)</f>
        <v>21.2</v>
      </c>
      <c r="Q25" s="47"/>
      <c r="R25" s="47"/>
      <c r="S25" s="47"/>
      <c r="T25" s="39">
        <f>SUM(T26:T28)</f>
        <v>63081.5</v>
      </c>
      <c r="U25" s="39">
        <f t="shared" ref="U25:AJ25" si="9">SUM(U26:U28)</f>
        <v>63050</v>
      </c>
      <c r="V25" s="39">
        <f t="shared" si="9"/>
        <v>0</v>
      </c>
      <c r="W25" s="39">
        <f t="shared" si="9"/>
        <v>0</v>
      </c>
      <c r="X25" s="39">
        <f t="shared" si="9"/>
        <v>31.5</v>
      </c>
      <c r="Y25" s="39">
        <f t="shared" si="9"/>
        <v>5188</v>
      </c>
      <c r="Z25" s="39">
        <f t="shared" si="9"/>
        <v>63050</v>
      </c>
      <c r="AA25" s="39">
        <f t="shared" si="9"/>
        <v>63050</v>
      </c>
      <c r="AB25" s="39">
        <f t="shared" si="9"/>
        <v>7500</v>
      </c>
      <c r="AC25" s="39">
        <f t="shared" si="9"/>
        <v>30230</v>
      </c>
      <c r="AD25" s="39">
        <f t="shared" si="9"/>
        <v>25320</v>
      </c>
      <c r="AE25" s="39">
        <f t="shared" si="9"/>
        <v>0</v>
      </c>
      <c r="AF25" s="39">
        <f t="shared" si="9"/>
        <v>61692.371199999994</v>
      </c>
      <c r="AG25" s="39">
        <f t="shared" si="9"/>
        <v>27750</v>
      </c>
      <c r="AH25" s="39">
        <f t="shared" si="9"/>
        <v>33942.371199999994</v>
      </c>
      <c r="AI25" s="39">
        <f t="shared" si="9"/>
        <v>0</v>
      </c>
      <c r="AJ25" s="39">
        <f t="shared" si="9"/>
        <v>0</v>
      </c>
      <c r="AK25" s="73"/>
      <c r="AS25" s="33"/>
      <c r="AT25" s="33"/>
    </row>
    <row r="26" spans="1:46" ht="105" customHeight="1" x14ac:dyDescent="0.25">
      <c r="A26" s="38">
        <v>1</v>
      </c>
      <c r="B26" s="74" t="s">
        <v>59</v>
      </c>
      <c r="C26" s="75" t="s">
        <v>60</v>
      </c>
      <c r="D26" s="52" t="s">
        <v>23</v>
      </c>
      <c r="E26" s="52" t="s">
        <v>61</v>
      </c>
      <c r="F26" s="38" t="s">
        <v>63</v>
      </c>
      <c r="G26" s="38" t="s">
        <v>370</v>
      </c>
      <c r="H26" s="38" t="s">
        <v>370</v>
      </c>
      <c r="I26" s="38" t="s">
        <v>384</v>
      </c>
      <c r="J26" s="38">
        <v>16.5</v>
      </c>
      <c r="K26" s="38">
        <v>1.5</v>
      </c>
      <c r="L26" s="38">
        <v>14.5</v>
      </c>
      <c r="M26" s="38"/>
      <c r="N26" s="38">
        <v>16.5</v>
      </c>
      <c r="O26" s="38">
        <v>1.5</v>
      </c>
      <c r="P26" s="38">
        <v>12.2</v>
      </c>
      <c r="Q26" s="38"/>
      <c r="R26" s="38" t="s">
        <v>62</v>
      </c>
      <c r="S26" s="38" t="s">
        <v>428</v>
      </c>
      <c r="T26" s="40">
        <f t="shared" si="5"/>
        <v>49131.5</v>
      </c>
      <c r="U26" s="40">
        <v>49100</v>
      </c>
      <c r="V26" s="40"/>
      <c r="W26" s="40"/>
      <c r="X26" s="40">
        <v>31.5</v>
      </c>
      <c r="Y26" s="40">
        <v>4063</v>
      </c>
      <c r="Z26" s="40">
        <v>49100</v>
      </c>
      <c r="AA26" s="40">
        <v>49100</v>
      </c>
      <c r="AB26" s="40">
        <v>5841</v>
      </c>
      <c r="AC26" s="40">
        <v>23542</v>
      </c>
      <c r="AD26" s="40">
        <f>AA26-AB26-AC26</f>
        <v>19717</v>
      </c>
      <c r="AE26" s="40"/>
      <c r="AF26" s="30">
        <v>48427.686199999996</v>
      </c>
      <c r="AG26" s="40">
        <v>23499</v>
      </c>
      <c r="AH26" s="40">
        <f>AF26-AG26</f>
        <v>24928.686199999996</v>
      </c>
      <c r="AI26" s="40"/>
      <c r="AJ26" s="40">
        <f t="shared" si="3"/>
        <v>0</v>
      </c>
      <c r="AK26" s="38" t="s">
        <v>486</v>
      </c>
      <c r="AL26" s="38"/>
      <c r="AS26" s="32"/>
      <c r="AT26" s="32"/>
    </row>
    <row r="27" spans="1:46" ht="78" customHeight="1" x14ac:dyDescent="0.25">
      <c r="A27" s="38">
        <v>2</v>
      </c>
      <c r="B27" s="50" t="s">
        <v>64</v>
      </c>
      <c r="C27" s="76" t="s">
        <v>65</v>
      </c>
      <c r="D27" s="52" t="s">
        <v>23</v>
      </c>
      <c r="E27" s="52" t="s">
        <v>24</v>
      </c>
      <c r="F27" s="38" t="s">
        <v>67</v>
      </c>
      <c r="G27" s="38" t="s">
        <v>312</v>
      </c>
      <c r="H27" s="38" t="s">
        <v>312</v>
      </c>
      <c r="I27" s="38" t="s">
        <v>384</v>
      </c>
      <c r="J27" s="38"/>
      <c r="K27" s="38"/>
      <c r="L27" s="38">
        <v>3</v>
      </c>
      <c r="M27" s="38"/>
      <c r="N27" s="38"/>
      <c r="O27" s="38"/>
      <c r="P27" s="38">
        <v>3</v>
      </c>
      <c r="Q27" s="38"/>
      <c r="R27" s="38" t="s">
        <v>66</v>
      </c>
      <c r="S27" s="38" t="s">
        <v>429</v>
      </c>
      <c r="T27" s="40">
        <f t="shared" si="5"/>
        <v>4650</v>
      </c>
      <c r="U27" s="40">
        <v>4650</v>
      </c>
      <c r="V27" s="40"/>
      <c r="W27" s="40"/>
      <c r="X27" s="40"/>
      <c r="Y27" s="40">
        <v>375</v>
      </c>
      <c r="Z27" s="40">
        <v>4650</v>
      </c>
      <c r="AA27" s="40">
        <v>4650</v>
      </c>
      <c r="AB27" s="40">
        <v>553</v>
      </c>
      <c r="AC27" s="40">
        <v>2229</v>
      </c>
      <c r="AD27" s="40">
        <f t="shared" ref="AD27:AD28" si="10">AA27-AB27-AC27</f>
        <v>1868</v>
      </c>
      <c r="AE27" s="40"/>
      <c r="AF27" s="30">
        <v>4556.6239999999998</v>
      </c>
      <c r="AG27" s="40">
        <v>2782</v>
      </c>
      <c r="AH27" s="40">
        <f t="shared" ref="AH27:AH28" si="11">AF27-AG27</f>
        <v>1774.6239999999998</v>
      </c>
      <c r="AI27" s="40"/>
      <c r="AJ27" s="40">
        <f t="shared" si="3"/>
        <v>0</v>
      </c>
      <c r="AK27" s="38" t="s">
        <v>485</v>
      </c>
      <c r="AL27" s="38"/>
      <c r="AS27" s="32"/>
      <c r="AT27" s="32"/>
    </row>
    <row r="28" spans="1:46" ht="75.75" customHeight="1" x14ac:dyDescent="0.25">
      <c r="A28" s="77">
        <v>3</v>
      </c>
      <c r="B28" s="78" t="s">
        <v>68</v>
      </c>
      <c r="C28" s="79" t="s">
        <v>69</v>
      </c>
      <c r="D28" s="80" t="s">
        <v>23</v>
      </c>
      <c r="E28" s="80" t="s">
        <v>24</v>
      </c>
      <c r="F28" s="77" t="s">
        <v>71</v>
      </c>
      <c r="G28" s="77" t="s">
        <v>307</v>
      </c>
      <c r="H28" s="77" t="s">
        <v>307</v>
      </c>
      <c r="I28" s="77" t="s">
        <v>384</v>
      </c>
      <c r="J28" s="77"/>
      <c r="K28" s="77"/>
      <c r="L28" s="77">
        <v>6</v>
      </c>
      <c r="M28" s="77"/>
      <c r="N28" s="77"/>
      <c r="O28" s="77"/>
      <c r="P28" s="77">
        <v>6</v>
      </c>
      <c r="Q28" s="77"/>
      <c r="R28" s="77" t="s">
        <v>70</v>
      </c>
      <c r="S28" s="77" t="s">
        <v>430</v>
      </c>
      <c r="T28" s="81">
        <f t="shared" si="5"/>
        <v>9300</v>
      </c>
      <c r="U28" s="81">
        <v>9300</v>
      </c>
      <c r="V28" s="81"/>
      <c r="W28" s="81"/>
      <c r="X28" s="81"/>
      <c r="Y28" s="81">
        <v>750</v>
      </c>
      <c r="Z28" s="81">
        <v>9300</v>
      </c>
      <c r="AA28" s="81">
        <v>9300</v>
      </c>
      <c r="AB28" s="81">
        <v>1106</v>
      </c>
      <c r="AC28" s="81">
        <v>4459</v>
      </c>
      <c r="AD28" s="81">
        <f t="shared" si="10"/>
        <v>3735</v>
      </c>
      <c r="AE28" s="81"/>
      <c r="AF28" s="82">
        <v>8708.0609999999997</v>
      </c>
      <c r="AG28" s="81">
        <v>1469</v>
      </c>
      <c r="AH28" s="81">
        <f t="shared" si="11"/>
        <v>7239.0609999999997</v>
      </c>
      <c r="AI28" s="81"/>
      <c r="AJ28" s="81">
        <f t="shared" si="3"/>
        <v>0</v>
      </c>
      <c r="AK28" s="77" t="s">
        <v>485</v>
      </c>
      <c r="AS28" s="32"/>
      <c r="AT28" s="32"/>
    </row>
  </sheetData>
  <mergeCells count="49">
    <mergeCell ref="AK15:AK16"/>
    <mergeCell ref="A1:AK1"/>
    <mergeCell ref="X2:AK2"/>
    <mergeCell ref="A3:A7"/>
    <mergeCell ref="B3:B7"/>
    <mergeCell ref="C3:C7"/>
    <mergeCell ref="D3:D7"/>
    <mergeCell ref="E3:E7"/>
    <mergeCell ref="F3:F7"/>
    <mergeCell ref="G3:H4"/>
    <mergeCell ref="G5:G7"/>
    <mergeCell ref="H5:H7"/>
    <mergeCell ref="U6:U7"/>
    <mergeCell ref="N3:Q4"/>
    <mergeCell ref="I3:I7"/>
    <mergeCell ref="AA5:AA7"/>
    <mergeCell ref="Z3:Z7"/>
    <mergeCell ref="N5:O5"/>
    <mergeCell ref="V6:V7"/>
    <mergeCell ref="W6:X6"/>
    <mergeCell ref="O6:O7"/>
    <mergeCell ref="P5:Q5"/>
    <mergeCell ref="N6:N7"/>
    <mergeCell ref="Y3:Y7"/>
    <mergeCell ref="R5:R6"/>
    <mergeCell ref="S5:S6"/>
    <mergeCell ref="R3:S4"/>
    <mergeCell ref="U5:X5"/>
    <mergeCell ref="T5:T7"/>
    <mergeCell ref="T3:X4"/>
    <mergeCell ref="AK3:AK7"/>
    <mergeCell ref="AG5:AG7"/>
    <mergeCell ref="AH5:AH7"/>
    <mergeCell ref="AF5:AF7"/>
    <mergeCell ref="AB5:AD7"/>
    <mergeCell ref="AJ3:AJ7"/>
    <mergeCell ref="AE5:AE7"/>
    <mergeCell ref="AI5:AI7"/>
    <mergeCell ref="AF3:AI4"/>
    <mergeCell ref="AA3:AE4"/>
    <mergeCell ref="J5:K5"/>
    <mergeCell ref="L5:M5"/>
    <mergeCell ref="J3:M4"/>
    <mergeCell ref="P6:P7"/>
    <mergeCell ref="Q6:Q7"/>
    <mergeCell ref="J6:J7"/>
    <mergeCell ref="K6:K7"/>
    <mergeCell ref="L6:L7"/>
    <mergeCell ref="M6:M7"/>
  </mergeCells>
  <printOptions horizontalCentered="1"/>
  <pageMargins left="0" right="0" top="0.31496062992125984" bottom="0.31496062992125984" header="0.31496062992125984" footer="0.31496062992125984"/>
  <pageSetup paperSize="9" scale="4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4"/>
  <sheetViews>
    <sheetView zoomScale="85" zoomScaleNormal="85" workbookViewId="0">
      <selection activeCell="L11" sqref="L11"/>
    </sheetView>
  </sheetViews>
  <sheetFormatPr defaultColWidth="9" defaultRowHeight="15" x14ac:dyDescent="0.25"/>
  <cols>
    <col min="1" max="1" width="5.375" style="117" customWidth="1"/>
    <col min="2" max="2" width="18.125" style="118" customWidth="1"/>
    <col min="3" max="3" width="14.625" style="117" customWidth="1"/>
    <col min="4" max="4" width="9" style="117" hidden="1" customWidth="1"/>
    <col min="5" max="5" width="10" style="117" hidden="1" customWidth="1"/>
    <col min="6" max="6" width="8.875" style="117" customWidth="1"/>
    <col min="7" max="7" width="7.625" style="117" customWidth="1"/>
    <col min="8" max="8" width="13.125" style="117" customWidth="1"/>
    <col min="9" max="9" width="13.625" style="117" customWidth="1"/>
    <col min="10" max="10" width="12.375" style="117" customWidth="1"/>
    <col min="11" max="11" width="7.375" style="117" customWidth="1"/>
    <col min="12" max="12" width="8.5" style="117" customWidth="1"/>
    <col min="13" max="13" width="8.375" style="117" customWidth="1"/>
    <col min="14" max="14" width="8.25" style="117" customWidth="1"/>
    <col min="15" max="17" width="7.375" style="117" customWidth="1"/>
    <col min="18" max="18" width="7" style="117" customWidth="1"/>
    <col min="19" max="19" width="7.375" style="117" customWidth="1"/>
    <col min="20" max="20" width="7.125" style="117" customWidth="1"/>
    <col min="21" max="21" width="11" style="117" hidden="1" customWidth="1"/>
    <col min="22" max="22" width="12.75" style="117" hidden="1" customWidth="1"/>
    <col min="23" max="23" width="8.75" style="117" customWidth="1"/>
    <col min="24" max="24" width="9" style="117" customWidth="1"/>
    <col min="25" max="25" width="8.5" style="117" bestFit="1" customWidth="1"/>
    <col min="26" max="26" width="7.125" style="117" customWidth="1"/>
    <col min="27" max="27" width="8.375" style="117" customWidth="1"/>
    <col min="28" max="29" width="10.125" style="117" customWidth="1"/>
    <col min="30" max="30" width="9.75" style="117" customWidth="1"/>
    <col min="31" max="31" width="7.625" style="117" hidden="1" customWidth="1"/>
    <col min="32" max="32" width="8.5" style="117" hidden="1" customWidth="1"/>
    <col min="33" max="33" width="10.125" style="117" hidden="1" customWidth="1"/>
    <col min="34" max="34" width="7.875" style="117" customWidth="1"/>
    <col min="35" max="35" width="10.5" style="117" customWidth="1"/>
    <col min="36" max="36" width="10.75" style="117" hidden="1" customWidth="1"/>
    <col min="37" max="37" width="11.75" style="117" hidden="1" customWidth="1"/>
    <col min="38" max="38" width="7" style="117" customWidth="1"/>
    <col min="39" max="39" width="8.125" style="117" customWidth="1"/>
    <col min="40" max="40" width="12.875" style="117" customWidth="1"/>
    <col min="41" max="41" width="14.5" style="117" customWidth="1"/>
    <col min="42" max="42" width="9" style="117" customWidth="1"/>
    <col min="43" max="43" width="8" style="117" customWidth="1"/>
    <col min="44" max="44" width="10.25" style="117" customWidth="1"/>
    <col min="45" max="45" width="5" style="117" customWidth="1"/>
    <col min="46" max="46" width="11" style="117" customWidth="1"/>
    <col min="47" max="47" width="9" style="117"/>
    <col min="48" max="48" width="11.5" style="117" customWidth="1"/>
    <col min="49" max="16384" width="9" style="117"/>
  </cols>
  <sheetData>
    <row r="1" spans="1:49" s="116" customFormat="1" ht="37.5" customHeight="1" x14ac:dyDescent="0.25">
      <c r="A1" s="259" t="s">
        <v>532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</row>
    <row r="2" spans="1:49" ht="15.75" customHeight="1" x14ac:dyDescent="0.25">
      <c r="AA2" s="281" t="s">
        <v>2</v>
      </c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</row>
    <row r="3" spans="1:49" s="116" customFormat="1" ht="22.5" customHeight="1" x14ac:dyDescent="0.25">
      <c r="A3" s="270" t="s">
        <v>3</v>
      </c>
      <c r="B3" s="270" t="s">
        <v>4</v>
      </c>
      <c r="C3" s="270" t="s">
        <v>5</v>
      </c>
      <c r="D3" s="268" t="s">
        <v>403</v>
      </c>
      <c r="E3" s="268" t="s">
        <v>404</v>
      </c>
      <c r="F3" s="270" t="s">
        <v>7</v>
      </c>
      <c r="G3" s="270" t="s">
        <v>6</v>
      </c>
      <c r="H3" s="270" t="s">
        <v>10</v>
      </c>
      <c r="I3" s="270" t="s">
        <v>8</v>
      </c>
      <c r="J3" s="270"/>
      <c r="K3" s="272" t="s">
        <v>389</v>
      </c>
      <c r="L3" s="273"/>
      <c r="M3" s="273"/>
      <c r="N3" s="273"/>
      <c r="O3" s="274"/>
      <c r="P3" s="272" t="s">
        <v>391</v>
      </c>
      <c r="Q3" s="273"/>
      <c r="R3" s="273"/>
      <c r="S3" s="273"/>
      <c r="T3" s="274"/>
      <c r="U3" s="272" t="s">
        <v>9</v>
      </c>
      <c r="V3" s="274"/>
      <c r="W3" s="272" t="s">
        <v>11</v>
      </c>
      <c r="X3" s="273"/>
      <c r="Y3" s="273"/>
      <c r="Z3" s="273"/>
      <c r="AA3" s="274"/>
      <c r="AB3" s="268" t="s">
        <v>431</v>
      </c>
      <c r="AC3" s="268" t="s">
        <v>378</v>
      </c>
      <c r="AD3" s="272" t="s">
        <v>300</v>
      </c>
      <c r="AE3" s="273"/>
      <c r="AF3" s="273"/>
      <c r="AG3" s="273"/>
      <c r="AH3" s="274"/>
      <c r="AI3" s="272" t="s">
        <v>443</v>
      </c>
      <c r="AJ3" s="273"/>
      <c r="AK3" s="273"/>
      <c r="AL3" s="274"/>
      <c r="AM3" s="268" t="s">
        <v>392</v>
      </c>
      <c r="AN3" s="270" t="s">
        <v>333</v>
      </c>
    </row>
    <row r="4" spans="1:49" s="116" customFormat="1" ht="14.25" customHeight="1" x14ac:dyDescent="0.25">
      <c r="A4" s="270"/>
      <c r="B4" s="270"/>
      <c r="C4" s="270"/>
      <c r="D4" s="271"/>
      <c r="E4" s="271"/>
      <c r="F4" s="270"/>
      <c r="G4" s="270"/>
      <c r="H4" s="270"/>
      <c r="I4" s="270"/>
      <c r="J4" s="270"/>
      <c r="K4" s="275"/>
      <c r="L4" s="276"/>
      <c r="M4" s="276"/>
      <c r="N4" s="276"/>
      <c r="O4" s="277"/>
      <c r="P4" s="275"/>
      <c r="Q4" s="276"/>
      <c r="R4" s="276"/>
      <c r="S4" s="276"/>
      <c r="T4" s="277"/>
      <c r="U4" s="278"/>
      <c r="V4" s="280"/>
      <c r="W4" s="275"/>
      <c r="X4" s="276"/>
      <c r="Y4" s="276"/>
      <c r="Z4" s="276"/>
      <c r="AA4" s="277"/>
      <c r="AB4" s="271"/>
      <c r="AC4" s="271"/>
      <c r="AD4" s="275"/>
      <c r="AE4" s="276"/>
      <c r="AF4" s="276"/>
      <c r="AG4" s="276"/>
      <c r="AH4" s="277"/>
      <c r="AI4" s="275"/>
      <c r="AJ4" s="276"/>
      <c r="AK4" s="276"/>
      <c r="AL4" s="277"/>
      <c r="AM4" s="271"/>
      <c r="AN4" s="270"/>
    </row>
    <row r="5" spans="1:49" s="116" customFormat="1" ht="38.25" customHeight="1" x14ac:dyDescent="0.25">
      <c r="A5" s="270"/>
      <c r="B5" s="270"/>
      <c r="C5" s="270"/>
      <c r="D5" s="271"/>
      <c r="E5" s="271"/>
      <c r="F5" s="270"/>
      <c r="G5" s="270"/>
      <c r="H5" s="270"/>
      <c r="I5" s="270" t="s">
        <v>297</v>
      </c>
      <c r="J5" s="270" t="s">
        <v>355</v>
      </c>
      <c r="K5" s="270" t="s">
        <v>398</v>
      </c>
      <c r="L5" s="270"/>
      <c r="M5" s="270"/>
      <c r="N5" s="270" t="s">
        <v>399</v>
      </c>
      <c r="O5" s="270"/>
      <c r="P5" s="270" t="s">
        <v>398</v>
      </c>
      <c r="Q5" s="270"/>
      <c r="R5" s="270"/>
      <c r="S5" s="270" t="s">
        <v>399</v>
      </c>
      <c r="T5" s="270"/>
      <c r="U5" s="278"/>
      <c r="V5" s="280"/>
      <c r="W5" s="270" t="s">
        <v>12</v>
      </c>
      <c r="X5" s="270" t="s">
        <v>13</v>
      </c>
      <c r="Y5" s="270"/>
      <c r="Z5" s="270"/>
      <c r="AA5" s="270"/>
      <c r="AB5" s="271"/>
      <c r="AC5" s="271"/>
      <c r="AD5" s="270" t="s">
        <v>12</v>
      </c>
      <c r="AE5" s="272" t="s">
        <v>493</v>
      </c>
      <c r="AF5" s="273"/>
      <c r="AG5" s="274"/>
      <c r="AH5" s="268" t="s">
        <v>481</v>
      </c>
      <c r="AI5" s="270" t="s">
        <v>501</v>
      </c>
      <c r="AJ5" s="270" t="s">
        <v>444</v>
      </c>
      <c r="AK5" s="270" t="s">
        <v>495</v>
      </c>
      <c r="AL5" s="270" t="s">
        <v>482</v>
      </c>
      <c r="AM5" s="271"/>
      <c r="AN5" s="270"/>
    </row>
    <row r="6" spans="1:49" s="116" customFormat="1" ht="43.5" customHeight="1" x14ac:dyDescent="0.25">
      <c r="A6" s="270"/>
      <c r="B6" s="270"/>
      <c r="C6" s="270"/>
      <c r="D6" s="271"/>
      <c r="E6" s="271"/>
      <c r="F6" s="270"/>
      <c r="G6" s="270"/>
      <c r="H6" s="270"/>
      <c r="I6" s="270"/>
      <c r="J6" s="270"/>
      <c r="K6" s="268" t="s">
        <v>400</v>
      </c>
      <c r="L6" s="270" t="s">
        <v>401</v>
      </c>
      <c r="M6" s="270"/>
      <c r="N6" s="270" t="s">
        <v>402</v>
      </c>
      <c r="O6" s="270"/>
      <c r="P6" s="268" t="s">
        <v>400</v>
      </c>
      <c r="Q6" s="270" t="s">
        <v>401</v>
      </c>
      <c r="R6" s="270"/>
      <c r="S6" s="270" t="s">
        <v>402</v>
      </c>
      <c r="T6" s="270"/>
      <c r="U6" s="278"/>
      <c r="V6" s="280"/>
      <c r="W6" s="270"/>
      <c r="X6" s="270" t="s">
        <v>14</v>
      </c>
      <c r="Y6" s="270" t="s">
        <v>15</v>
      </c>
      <c r="Z6" s="270" t="s">
        <v>16</v>
      </c>
      <c r="AA6" s="270"/>
      <c r="AB6" s="271"/>
      <c r="AC6" s="271"/>
      <c r="AD6" s="270"/>
      <c r="AE6" s="278"/>
      <c r="AF6" s="279"/>
      <c r="AG6" s="280"/>
      <c r="AH6" s="271"/>
      <c r="AI6" s="270"/>
      <c r="AJ6" s="270"/>
      <c r="AK6" s="270"/>
      <c r="AL6" s="270"/>
      <c r="AM6" s="271"/>
      <c r="AN6" s="270"/>
    </row>
    <row r="7" spans="1:49" s="116" customFormat="1" ht="59.25" customHeight="1" x14ac:dyDescent="0.25">
      <c r="A7" s="270"/>
      <c r="B7" s="270"/>
      <c r="C7" s="270"/>
      <c r="D7" s="269"/>
      <c r="E7" s="269"/>
      <c r="F7" s="270"/>
      <c r="G7" s="270"/>
      <c r="H7" s="270"/>
      <c r="I7" s="270"/>
      <c r="J7" s="270"/>
      <c r="K7" s="269"/>
      <c r="L7" s="119" t="s">
        <v>24</v>
      </c>
      <c r="M7" s="119" t="s">
        <v>37</v>
      </c>
      <c r="N7" s="119" t="s">
        <v>24</v>
      </c>
      <c r="O7" s="119" t="s">
        <v>37</v>
      </c>
      <c r="P7" s="269"/>
      <c r="Q7" s="119" t="s">
        <v>24</v>
      </c>
      <c r="R7" s="119" t="s">
        <v>37</v>
      </c>
      <c r="S7" s="119" t="s">
        <v>24</v>
      </c>
      <c r="T7" s="119" t="s">
        <v>37</v>
      </c>
      <c r="U7" s="275"/>
      <c r="V7" s="277"/>
      <c r="W7" s="270"/>
      <c r="X7" s="270"/>
      <c r="Y7" s="270"/>
      <c r="Z7" s="119" t="s">
        <v>17</v>
      </c>
      <c r="AA7" s="119" t="s">
        <v>18</v>
      </c>
      <c r="AB7" s="269"/>
      <c r="AC7" s="269"/>
      <c r="AD7" s="270"/>
      <c r="AE7" s="275"/>
      <c r="AF7" s="276"/>
      <c r="AG7" s="277"/>
      <c r="AH7" s="269"/>
      <c r="AI7" s="270"/>
      <c r="AJ7" s="270"/>
      <c r="AK7" s="270"/>
      <c r="AL7" s="270"/>
      <c r="AM7" s="269"/>
      <c r="AN7" s="270"/>
    </row>
    <row r="8" spans="1:49" s="116" customFormat="1" ht="30" customHeight="1" x14ac:dyDescent="0.25">
      <c r="A8" s="120"/>
      <c r="B8" s="120" t="s">
        <v>19</v>
      </c>
      <c r="C8" s="120"/>
      <c r="D8" s="120"/>
      <c r="E8" s="120"/>
      <c r="F8" s="120"/>
      <c r="G8" s="120"/>
      <c r="H8" s="120"/>
      <c r="I8" s="120"/>
      <c r="J8" s="120"/>
      <c r="K8" s="120">
        <f>K9</f>
        <v>18</v>
      </c>
      <c r="L8" s="120">
        <f>L9</f>
        <v>3.7</v>
      </c>
      <c r="M8" s="120">
        <f>M9</f>
        <v>48.8</v>
      </c>
      <c r="N8" s="121">
        <f>N27</f>
        <v>9.5</v>
      </c>
      <c r="O8" s="121">
        <f>O27</f>
        <v>12</v>
      </c>
      <c r="P8" s="120">
        <f>P9</f>
        <v>22</v>
      </c>
      <c r="Q8" s="120">
        <f>Q9</f>
        <v>0.7</v>
      </c>
      <c r="R8" s="121">
        <f>R9</f>
        <v>44.001000000000005</v>
      </c>
      <c r="S8" s="122">
        <f>S27</f>
        <v>8.73</v>
      </c>
      <c r="T8" s="121">
        <f>T27</f>
        <v>7.4</v>
      </c>
      <c r="U8" s="120"/>
      <c r="V8" s="120"/>
      <c r="W8" s="123">
        <f>W9+W27</f>
        <v>139187.29999999999</v>
      </c>
      <c r="X8" s="123">
        <f>X9+X27</f>
        <v>86293</v>
      </c>
      <c r="Y8" s="123">
        <f>Y9+Y27</f>
        <v>51409</v>
      </c>
      <c r="Z8" s="123"/>
      <c r="AA8" s="123">
        <f t="shared" ref="AA8:AB8" si="0">AA9+AA27</f>
        <v>1485.3</v>
      </c>
      <c r="AB8" s="123">
        <f t="shared" si="0"/>
        <v>1958</v>
      </c>
      <c r="AC8" s="123">
        <f t="shared" ref="AC8:AM8" si="1">AC9+AC27</f>
        <v>86293</v>
      </c>
      <c r="AD8" s="123">
        <f t="shared" si="1"/>
        <v>85411</v>
      </c>
      <c r="AE8" s="123">
        <f t="shared" si="1"/>
        <v>10265</v>
      </c>
      <c r="AF8" s="123">
        <f t="shared" si="1"/>
        <v>41370</v>
      </c>
      <c r="AG8" s="123">
        <f t="shared" si="1"/>
        <v>31245</v>
      </c>
      <c r="AH8" s="123">
        <f t="shared" si="1"/>
        <v>0</v>
      </c>
      <c r="AI8" s="124">
        <f t="shared" si="1"/>
        <v>79363.75</v>
      </c>
      <c r="AJ8" s="123">
        <f t="shared" si="1"/>
        <v>47319</v>
      </c>
      <c r="AK8" s="123">
        <f t="shared" si="1"/>
        <v>30053.300999999999</v>
      </c>
      <c r="AL8" s="123">
        <f t="shared" si="1"/>
        <v>0</v>
      </c>
      <c r="AM8" s="123">
        <f t="shared" si="1"/>
        <v>51409</v>
      </c>
      <c r="AN8" s="123"/>
    </row>
    <row r="9" spans="1:49" s="116" customFormat="1" ht="33.75" customHeight="1" x14ac:dyDescent="0.25">
      <c r="A9" s="125" t="s">
        <v>20</v>
      </c>
      <c r="B9" s="126" t="s">
        <v>393</v>
      </c>
      <c r="C9" s="125"/>
      <c r="D9" s="127">
        <f>D10+D13+D15+D17+D19+D21+D23+D25</f>
        <v>1732</v>
      </c>
      <c r="E9" s="127">
        <f>E10+E13+E15+E17+E19+E21+E23+E25</f>
        <v>1286</v>
      </c>
      <c r="F9" s="125"/>
      <c r="G9" s="125"/>
      <c r="H9" s="125"/>
      <c r="I9" s="125"/>
      <c r="J9" s="125"/>
      <c r="K9" s="125">
        <f>K10+K13+K15+K17+K19+K21+K23+K25</f>
        <v>18</v>
      </c>
      <c r="L9" s="125">
        <f>L10+L13+L15+L17+L19+L21+L23+L25</f>
        <v>3.7</v>
      </c>
      <c r="M9" s="125">
        <f>M10+M13+M15+M17+M19+M21+M23+M25</f>
        <v>48.8</v>
      </c>
      <c r="N9" s="125"/>
      <c r="O9" s="125"/>
      <c r="P9" s="125">
        <f>P10+P13+P15+P17+P19+P21+P23+P25</f>
        <v>22</v>
      </c>
      <c r="Q9" s="125">
        <f>Q10+Q13+Q15+Q17+Q19+Q21+Q23+Q25</f>
        <v>0.7</v>
      </c>
      <c r="R9" s="128">
        <f>R10+R13+R15+R17+R19+R21+R23+R25</f>
        <v>44.001000000000005</v>
      </c>
      <c r="S9" s="125"/>
      <c r="T9" s="125"/>
      <c r="U9" s="125"/>
      <c r="V9" s="125"/>
      <c r="W9" s="129">
        <f>W10+W13+W15+W17+W19+W21+W23+W25</f>
        <v>101616.6</v>
      </c>
      <c r="X9" s="129">
        <f t="shared" ref="X9:AB9" si="2">X10+X13+X15+X17+X19+X21+X23+X25</f>
        <v>66178</v>
      </c>
      <c r="Y9" s="129">
        <f t="shared" si="2"/>
        <v>34115</v>
      </c>
      <c r="Z9" s="129"/>
      <c r="AA9" s="129">
        <f t="shared" si="2"/>
        <v>1323.6</v>
      </c>
      <c r="AB9" s="129">
        <f t="shared" si="2"/>
        <v>1056</v>
      </c>
      <c r="AC9" s="129">
        <f t="shared" ref="AC9:AM9" si="3">AC10+AC13+AC15+AC17+AC19+AC21+AC23+AC25</f>
        <v>66178</v>
      </c>
      <c r="AD9" s="129">
        <f t="shared" si="3"/>
        <v>65296</v>
      </c>
      <c r="AE9" s="129">
        <f t="shared" si="3"/>
        <v>7872</v>
      </c>
      <c r="AF9" s="129">
        <f t="shared" si="3"/>
        <v>31727</v>
      </c>
      <c r="AG9" s="129">
        <f t="shared" si="3"/>
        <v>23166</v>
      </c>
      <c r="AH9" s="129">
        <f t="shared" si="3"/>
        <v>0</v>
      </c>
      <c r="AI9" s="129">
        <f t="shared" si="3"/>
        <v>63014.631000000001</v>
      </c>
      <c r="AJ9" s="129">
        <f t="shared" si="3"/>
        <v>38667</v>
      </c>
      <c r="AK9" s="129">
        <f t="shared" si="3"/>
        <v>24347.631000000001</v>
      </c>
      <c r="AL9" s="129">
        <f t="shared" si="3"/>
        <v>0</v>
      </c>
      <c r="AM9" s="129">
        <f t="shared" si="3"/>
        <v>34115</v>
      </c>
      <c r="AN9" s="129"/>
      <c r="AV9" s="130"/>
      <c r="AW9" s="130"/>
    </row>
    <row r="10" spans="1:49" s="116" customFormat="1" ht="30.75" customHeight="1" x14ac:dyDescent="0.25">
      <c r="A10" s="125" t="s">
        <v>0</v>
      </c>
      <c r="B10" s="126" t="s">
        <v>256</v>
      </c>
      <c r="C10" s="125"/>
      <c r="D10" s="125">
        <f>D11+D12</f>
        <v>734</v>
      </c>
      <c r="E10" s="125">
        <f>E11+E12</f>
        <v>344</v>
      </c>
      <c r="F10" s="125"/>
      <c r="G10" s="125"/>
      <c r="H10" s="125"/>
      <c r="I10" s="125"/>
      <c r="J10" s="125"/>
      <c r="K10" s="125">
        <f>K11+K12</f>
        <v>4</v>
      </c>
      <c r="L10" s="125">
        <f>L11+L12</f>
        <v>3</v>
      </c>
      <c r="M10" s="128">
        <f>M11+M12</f>
        <v>20</v>
      </c>
      <c r="N10" s="125"/>
      <c r="O10" s="125"/>
      <c r="P10" s="125">
        <f>P11+P12</f>
        <v>1</v>
      </c>
      <c r="Q10" s="125"/>
      <c r="R10" s="128">
        <f>R11+R12</f>
        <v>17.73</v>
      </c>
      <c r="S10" s="125"/>
      <c r="T10" s="125"/>
      <c r="U10" s="125"/>
      <c r="V10" s="125"/>
      <c r="W10" s="129">
        <f>W11+W12</f>
        <v>49109</v>
      </c>
      <c r="X10" s="129">
        <f>X11+X12</f>
        <v>14700</v>
      </c>
      <c r="Y10" s="129">
        <f>Y11+Y12</f>
        <v>34115</v>
      </c>
      <c r="Z10" s="129"/>
      <c r="AA10" s="129">
        <f t="shared" ref="AA10:AB10" si="4">AA11+AA12</f>
        <v>294</v>
      </c>
      <c r="AB10" s="129">
        <f t="shared" si="4"/>
        <v>294</v>
      </c>
      <c r="AC10" s="129">
        <f t="shared" ref="AC10:AM10" si="5">AC11+AC12</f>
        <v>14700</v>
      </c>
      <c r="AD10" s="129">
        <f>AD11+AD12</f>
        <v>14700</v>
      </c>
      <c r="AE10" s="129">
        <f t="shared" si="5"/>
        <v>1749</v>
      </c>
      <c r="AF10" s="129">
        <f t="shared" si="5"/>
        <v>7048</v>
      </c>
      <c r="AG10" s="129">
        <f t="shared" si="5"/>
        <v>5903</v>
      </c>
      <c r="AH10" s="129">
        <f t="shared" si="5"/>
        <v>0</v>
      </c>
      <c r="AI10" s="129">
        <f t="shared" si="5"/>
        <v>14688.83</v>
      </c>
      <c r="AJ10" s="129">
        <f t="shared" si="5"/>
        <v>8797</v>
      </c>
      <c r="AK10" s="129">
        <f t="shared" si="5"/>
        <v>5891.83</v>
      </c>
      <c r="AL10" s="129">
        <f t="shared" si="5"/>
        <v>0</v>
      </c>
      <c r="AM10" s="129">
        <f t="shared" si="5"/>
        <v>34115</v>
      </c>
      <c r="AN10" s="129"/>
      <c r="AV10" s="130"/>
      <c r="AW10" s="130"/>
    </row>
    <row r="11" spans="1:49" s="116" customFormat="1" ht="88.5" customHeight="1" x14ac:dyDescent="0.25">
      <c r="A11" s="131">
        <v>1</v>
      </c>
      <c r="B11" s="132" t="s">
        <v>253</v>
      </c>
      <c r="C11" s="131" t="s">
        <v>254</v>
      </c>
      <c r="D11" s="131">
        <v>390</v>
      </c>
      <c r="E11" s="131"/>
      <c r="F11" s="131" t="s">
        <v>397</v>
      </c>
      <c r="G11" s="131" t="s">
        <v>23</v>
      </c>
      <c r="H11" s="131"/>
      <c r="I11" s="131" t="s">
        <v>296</v>
      </c>
      <c r="J11" s="131"/>
      <c r="K11" s="131">
        <v>3</v>
      </c>
      <c r="L11" s="131">
        <v>3</v>
      </c>
      <c r="M11" s="133">
        <v>5</v>
      </c>
      <c r="N11" s="131"/>
      <c r="O11" s="131"/>
      <c r="P11" s="131"/>
      <c r="Q11" s="131"/>
      <c r="R11" s="131"/>
      <c r="S11" s="131"/>
      <c r="T11" s="131"/>
      <c r="U11" s="131"/>
      <c r="V11" s="131"/>
      <c r="W11" s="134">
        <f>X11+Z11+Y11+AA11</f>
        <v>34115</v>
      </c>
      <c r="X11" s="134"/>
      <c r="Y11" s="134">
        <v>34115</v>
      </c>
      <c r="Z11" s="134"/>
      <c r="AA11" s="134"/>
      <c r="AB11" s="134"/>
      <c r="AC11" s="134"/>
      <c r="AD11" s="134"/>
      <c r="AE11" s="134"/>
      <c r="AF11" s="129"/>
      <c r="AG11" s="129"/>
      <c r="AH11" s="129"/>
      <c r="AI11" s="129"/>
      <c r="AJ11" s="129"/>
      <c r="AK11" s="134"/>
      <c r="AL11" s="134"/>
      <c r="AM11" s="134">
        <f>Y11</f>
        <v>34115</v>
      </c>
      <c r="AN11" s="131" t="s">
        <v>472</v>
      </c>
      <c r="AV11" s="130"/>
      <c r="AW11" s="130"/>
    </row>
    <row r="12" spans="1:49" ht="162" customHeight="1" x14ac:dyDescent="0.25">
      <c r="A12" s="131">
        <v>2</v>
      </c>
      <c r="B12" s="132" t="s">
        <v>72</v>
      </c>
      <c r="C12" s="131" t="s">
        <v>73</v>
      </c>
      <c r="D12" s="131">
        <v>344</v>
      </c>
      <c r="E12" s="131">
        <v>344</v>
      </c>
      <c r="F12" s="135" t="s">
        <v>37</v>
      </c>
      <c r="G12" s="135" t="s">
        <v>23</v>
      </c>
      <c r="H12" s="131" t="s">
        <v>76</v>
      </c>
      <c r="I12" s="131" t="s">
        <v>74</v>
      </c>
      <c r="J12" s="131" t="s">
        <v>353</v>
      </c>
      <c r="K12" s="131">
        <v>1</v>
      </c>
      <c r="L12" s="131"/>
      <c r="M12" s="133">
        <v>15</v>
      </c>
      <c r="N12" s="131"/>
      <c r="O12" s="131"/>
      <c r="P12" s="131">
        <v>1</v>
      </c>
      <c r="Q12" s="131"/>
      <c r="R12" s="133">
        <v>17.73</v>
      </c>
      <c r="S12" s="131"/>
      <c r="T12" s="131"/>
      <c r="U12" s="131" t="s">
        <v>75</v>
      </c>
      <c r="V12" s="131"/>
      <c r="W12" s="134">
        <f t="shared" ref="W12:W26" si="6">X12+Z12+AA12</f>
        <v>14994</v>
      </c>
      <c r="X12" s="134">
        <v>14700</v>
      </c>
      <c r="Y12" s="134"/>
      <c r="Z12" s="134"/>
      <c r="AA12" s="134">
        <v>294</v>
      </c>
      <c r="AB12" s="134">
        <v>294</v>
      </c>
      <c r="AC12" s="134">
        <v>14700</v>
      </c>
      <c r="AD12" s="134">
        <f>AE12+AF12+AG12</f>
        <v>14700</v>
      </c>
      <c r="AE12" s="134">
        <v>1749</v>
      </c>
      <c r="AF12" s="134">
        <v>7048</v>
      </c>
      <c r="AG12" s="134">
        <v>5903</v>
      </c>
      <c r="AH12" s="134"/>
      <c r="AI12" s="134">
        <v>14688.83</v>
      </c>
      <c r="AJ12" s="134">
        <v>8797</v>
      </c>
      <c r="AK12" s="134">
        <f>AI12-AJ12</f>
        <v>5891.83</v>
      </c>
      <c r="AL12" s="134"/>
      <c r="AM12" s="134">
        <f>X12-AD12</f>
        <v>0</v>
      </c>
      <c r="AN12" s="89" t="s">
        <v>505</v>
      </c>
      <c r="AV12" s="136"/>
      <c r="AW12" s="136"/>
    </row>
    <row r="13" spans="1:49" s="116" customFormat="1" ht="34.5" customHeight="1" x14ac:dyDescent="0.25">
      <c r="A13" s="125" t="s">
        <v>1</v>
      </c>
      <c r="B13" s="137" t="s">
        <v>261</v>
      </c>
      <c r="C13" s="125"/>
      <c r="D13" s="125">
        <f>D14</f>
        <v>277</v>
      </c>
      <c r="E13" s="125">
        <f>E14</f>
        <v>277</v>
      </c>
      <c r="F13" s="138"/>
      <c r="G13" s="138"/>
      <c r="H13" s="125"/>
      <c r="I13" s="125"/>
      <c r="J13" s="125"/>
      <c r="K13" s="125">
        <f>K14</f>
        <v>1</v>
      </c>
      <c r="L13" s="125"/>
      <c r="M13" s="125">
        <f>M14</f>
        <v>6.8</v>
      </c>
      <c r="N13" s="125"/>
      <c r="O13" s="125"/>
      <c r="P13" s="125">
        <f>P14</f>
        <v>8</v>
      </c>
      <c r="Q13" s="125"/>
      <c r="R13" s="125">
        <f>R14</f>
        <v>4.3</v>
      </c>
      <c r="S13" s="125"/>
      <c r="T13" s="125"/>
      <c r="U13" s="125"/>
      <c r="V13" s="125"/>
      <c r="W13" s="129">
        <f>W14</f>
        <v>6426</v>
      </c>
      <c r="X13" s="129">
        <f t="shared" ref="X13:AM13" si="7">X14</f>
        <v>6300</v>
      </c>
      <c r="Y13" s="129"/>
      <c r="Z13" s="129"/>
      <c r="AA13" s="129">
        <f t="shared" si="7"/>
        <v>126</v>
      </c>
      <c r="AB13" s="129">
        <f>AB14</f>
        <v>126</v>
      </c>
      <c r="AC13" s="129">
        <f t="shared" si="7"/>
        <v>6300</v>
      </c>
      <c r="AD13" s="129">
        <f t="shared" si="7"/>
        <v>6300</v>
      </c>
      <c r="AE13" s="129">
        <f t="shared" si="7"/>
        <v>749</v>
      </c>
      <c r="AF13" s="129">
        <f t="shared" si="7"/>
        <v>3020</v>
      </c>
      <c r="AG13" s="129">
        <f t="shared" si="7"/>
        <v>0</v>
      </c>
      <c r="AH13" s="129">
        <f t="shared" si="7"/>
        <v>0</v>
      </c>
      <c r="AI13" s="129">
        <f t="shared" si="7"/>
        <v>6109</v>
      </c>
      <c r="AJ13" s="129">
        <f t="shared" si="7"/>
        <v>3769</v>
      </c>
      <c r="AK13" s="129">
        <f t="shared" si="7"/>
        <v>2340</v>
      </c>
      <c r="AL13" s="129">
        <f t="shared" si="7"/>
        <v>0</v>
      </c>
      <c r="AM13" s="129">
        <f t="shared" si="7"/>
        <v>0</v>
      </c>
      <c r="AN13" s="129"/>
      <c r="AV13" s="130"/>
      <c r="AW13" s="130"/>
    </row>
    <row r="14" spans="1:49" ht="112.5" customHeight="1" x14ac:dyDescent="0.25">
      <c r="A14" s="131">
        <v>1</v>
      </c>
      <c r="B14" s="132" t="s">
        <v>81</v>
      </c>
      <c r="C14" s="131" t="s">
        <v>82</v>
      </c>
      <c r="D14" s="131">
        <v>277</v>
      </c>
      <c r="E14" s="131">
        <v>277</v>
      </c>
      <c r="F14" s="135" t="s">
        <v>37</v>
      </c>
      <c r="G14" s="135" t="s">
        <v>23</v>
      </c>
      <c r="H14" s="131" t="s">
        <v>84</v>
      </c>
      <c r="I14" s="131" t="s">
        <v>301</v>
      </c>
      <c r="J14" s="131" t="s">
        <v>340</v>
      </c>
      <c r="K14" s="131">
        <v>1</v>
      </c>
      <c r="L14" s="131"/>
      <c r="M14" s="131">
        <v>6.8</v>
      </c>
      <c r="N14" s="131"/>
      <c r="O14" s="131"/>
      <c r="P14" s="131">
        <v>8</v>
      </c>
      <c r="Q14" s="131"/>
      <c r="R14" s="131">
        <v>4.3</v>
      </c>
      <c r="S14" s="131"/>
      <c r="T14" s="131"/>
      <c r="U14" s="131" t="s">
        <v>83</v>
      </c>
      <c r="V14" s="131" t="s">
        <v>83</v>
      </c>
      <c r="W14" s="134">
        <f t="shared" si="6"/>
        <v>6426</v>
      </c>
      <c r="X14" s="134">
        <v>6300</v>
      </c>
      <c r="Y14" s="134"/>
      <c r="Z14" s="134"/>
      <c r="AA14" s="134">
        <v>126</v>
      </c>
      <c r="AB14" s="134">
        <v>126</v>
      </c>
      <c r="AC14" s="134">
        <v>6300</v>
      </c>
      <c r="AD14" s="134">
        <v>6300</v>
      </c>
      <c r="AE14" s="134">
        <v>749</v>
      </c>
      <c r="AF14" s="134">
        <v>3020</v>
      </c>
      <c r="AG14" s="134"/>
      <c r="AH14" s="134"/>
      <c r="AI14" s="139">
        <v>6109</v>
      </c>
      <c r="AJ14" s="134">
        <v>3769</v>
      </c>
      <c r="AK14" s="134">
        <f>AI14-AJ14</f>
        <v>2340</v>
      </c>
      <c r="AL14" s="134"/>
      <c r="AM14" s="134">
        <f t="shared" ref="AM14:AM16" si="8">X14-AD14</f>
        <v>0</v>
      </c>
      <c r="AN14" s="89" t="s">
        <v>487</v>
      </c>
      <c r="AO14" s="131"/>
      <c r="AV14" s="136"/>
      <c r="AW14" s="136"/>
    </row>
    <row r="15" spans="1:49" s="116" customFormat="1" ht="33" customHeight="1" x14ac:dyDescent="0.25">
      <c r="A15" s="125" t="s">
        <v>265</v>
      </c>
      <c r="B15" s="137" t="s">
        <v>266</v>
      </c>
      <c r="C15" s="125"/>
      <c r="D15" s="125">
        <f>D16</f>
        <v>301</v>
      </c>
      <c r="E15" s="125">
        <f>E16</f>
        <v>301</v>
      </c>
      <c r="F15" s="138"/>
      <c r="G15" s="138"/>
      <c r="H15" s="125"/>
      <c r="I15" s="125"/>
      <c r="J15" s="125"/>
      <c r="K15" s="125">
        <f>K16</f>
        <v>3</v>
      </c>
      <c r="L15" s="125"/>
      <c r="M15" s="125">
        <f>M16</f>
        <v>6.6</v>
      </c>
      <c r="N15" s="125"/>
      <c r="O15" s="125"/>
      <c r="P15" s="125">
        <f>P16</f>
        <v>3</v>
      </c>
      <c r="Q15" s="125"/>
      <c r="R15" s="125">
        <f>R16</f>
        <v>6.6</v>
      </c>
      <c r="S15" s="125"/>
      <c r="T15" s="125"/>
      <c r="U15" s="125"/>
      <c r="V15" s="125"/>
      <c r="W15" s="129">
        <f>W16</f>
        <v>11092.5</v>
      </c>
      <c r="X15" s="129">
        <f t="shared" ref="X15:AM15" si="9">X16</f>
        <v>10875</v>
      </c>
      <c r="Y15" s="129"/>
      <c r="Z15" s="129"/>
      <c r="AA15" s="129">
        <f>AA16</f>
        <v>217.5</v>
      </c>
      <c r="AB15" s="129">
        <f>AB16</f>
        <v>218</v>
      </c>
      <c r="AC15" s="129">
        <f t="shared" si="9"/>
        <v>10875</v>
      </c>
      <c r="AD15" s="129">
        <f t="shared" si="9"/>
        <v>10875</v>
      </c>
      <c r="AE15" s="129">
        <f t="shared" si="9"/>
        <v>1294</v>
      </c>
      <c r="AF15" s="129">
        <f t="shared" si="9"/>
        <v>5214</v>
      </c>
      <c r="AG15" s="129">
        <f t="shared" si="9"/>
        <v>4367</v>
      </c>
      <c r="AH15" s="129">
        <f t="shared" si="9"/>
        <v>0</v>
      </c>
      <c r="AI15" s="129">
        <f t="shared" si="9"/>
        <v>10375.736999999999</v>
      </c>
      <c r="AJ15" s="129">
        <f t="shared" si="9"/>
        <v>6508</v>
      </c>
      <c r="AK15" s="129">
        <f t="shared" si="9"/>
        <v>3867.7369999999992</v>
      </c>
      <c r="AL15" s="129">
        <f t="shared" si="9"/>
        <v>0</v>
      </c>
      <c r="AM15" s="129">
        <f t="shared" si="9"/>
        <v>0</v>
      </c>
      <c r="AN15" s="129"/>
      <c r="AV15" s="130"/>
      <c r="AW15" s="130"/>
    </row>
    <row r="16" spans="1:49" ht="141.75" customHeight="1" x14ac:dyDescent="0.25">
      <c r="A16" s="131">
        <v>1</v>
      </c>
      <c r="B16" s="132" t="s">
        <v>89</v>
      </c>
      <c r="C16" s="131" t="s">
        <v>90</v>
      </c>
      <c r="D16" s="131">
        <v>301</v>
      </c>
      <c r="E16" s="131">
        <v>301</v>
      </c>
      <c r="F16" s="135" t="s">
        <v>37</v>
      </c>
      <c r="G16" s="135" t="s">
        <v>23</v>
      </c>
      <c r="H16" s="131" t="s">
        <v>93</v>
      </c>
      <c r="I16" s="131" t="s">
        <v>91</v>
      </c>
      <c r="J16" s="131" t="s">
        <v>91</v>
      </c>
      <c r="K16" s="131">
        <v>3</v>
      </c>
      <c r="L16" s="131"/>
      <c r="M16" s="131">
        <v>6.6</v>
      </c>
      <c r="N16" s="131"/>
      <c r="O16" s="131"/>
      <c r="P16" s="131">
        <v>3</v>
      </c>
      <c r="Q16" s="131"/>
      <c r="R16" s="131">
        <v>6.6</v>
      </c>
      <c r="S16" s="131"/>
      <c r="T16" s="131"/>
      <c r="U16" s="131" t="s">
        <v>92</v>
      </c>
      <c r="V16" s="131" t="s">
        <v>92</v>
      </c>
      <c r="W16" s="134">
        <f t="shared" si="6"/>
        <v>11092.5</v>
      </c>
      <c r="X16" s="134">
        <v>10875</v>
      </c>
      <c r="Y16" s="134"/>
      <c r="Z16" s="134"/>
      <c r="AA16" s="134">
        <v>217.5</v>
      </c>
      <c r="AB16" s="134">
        <v>218</v>
      </c>
      <c r="AC16" s="134">
        <v>10875</v>
      </c>
      <c r="AD16" s="134">
        <v>10875</v>
      </c>
      <c r="AE16" s="134">
        <v>1294</v>
      </c>
      <c r="AF16" s="134">
        <v>5214</v>
      </c>
      <c r="AG16" s="134">
        <f>AD16-AE16-AF16</f>
        <v>4367</v>
      </c>
      <c r="AH16" s="134"/>
      <c r="AI16" s="139">
        <v>10375.736999999999</v>
      </c>
      <c r="AJ16" s="134">
        <v>6508</v>
      </c>
      <c r="AK16" s="134">
        <f>AI16-AJ16</f>
        <v>3867.7369999999992</v>
      </c>
      <c r="AL16" s="134"/>
      <c r="AM16" s="134">
        <f t="shared" si="8"/>
        <v>0</v>
      </c>
      <c r="AN16" s="89" t="s">
        <v>496</v>
      </c>
      <c r="AO16" s="131"/>
      <c r="AV16" s="136"/>
      <c r="AW16" s="136"/>
    </row>
    <row r="17" spans="1:49" s="116" customFormat="1" ht="42" customHeight="1" x14ac:dyDescent="0.25">
      <c r="A17" s="125" t="s">
        <v>270</v>
      </c>
      <c r="B17" s="137" t="s">
        <v>394</v>
      </c>
      <c r="C17" s="125"/>
      <c r="D17" s="125">
        <f>D18</f>
        <v>94</v>
      </c>
      <c r="E17" s="125">
        <f>E18</f>
        <v>94</v>
      </c>
      <c r="F17" s="138"/>
      <c r="G17" s="138"/>
      <c r="H17" s="125"/>
      <c r="I17" s="125"/>
      <c r="J17" s="125"/>
      <c r="K17" s="125">
        <f>K18</f>
        <v>4</v>
      </c>
      <c r="L17" s="125"/>
      <c r="M17" s="125">
        <f>M18</f>
        <v>5.0999999999999996</v>
      </c>
      <c r="N17" s="125"/>
      <c r="O17" s="125"/>
      <c r="P17" s="125">
        <f>P18</f>
        <v>4</v>
      </c>
      <c r="Q17" s="125"/>
      <c r="R17" s="125">
        <f>R18</f>
        <v>5.0999999999999996</v>
      </c>
      <c r="S17" s="125"/>
      <c r="T17" s="125"/>
      <c r="U17" s="125"/>
      <c r="V17" s="125"/>
      <c r="W17" s="129">
        <f>W18</f>
        <v>13566</v>
      </c>
      <c r="X17" s="129">
        <f t="shared" ref="X17:AM17" si="10">X18</f>
        <v>13300</v>
      </c>
      <c r="Y17" s="129"/>
      <c r="Z17" s="129"/>
      <c r="AA17" s="129">
        <f t="shared" si="10"/>
        <v>266</v>
      </c>
      <c r="AB17" s="129">
        <f t="shared" si="10"/>
        <v>266</v>
      </c>
      <c r="AC17" s="129">
        <f t="shared" si="10"/>
        <v>13300</v>
      </c>
      <c r="AD17" s="129">
        <f t="shared" si="10"/>
        <v>12418</v>
      </c>
      <c r="AE17" s="129">
        <f t="shared" si="10"/>
        <v>1582</v>
      </c>
      <c r="AF17" s="129">
        <f t="shared" si="10"/>
        <v>6376</v>
      </c>
      <c r="AG17" s="129">
        <f t="shared" si="10"/>
        <v>4460</v>
      </c>
      <c r="AH17" s="129">
        <f t="shared" si="10"/>
        <v>0</v>
      </c>
      <c r="AI17" s="129">
        <f t="shared" si="10"/>
        <v>12418</v>
      </c>
      <c r="AJ17" s="129">
        <f t="shared" si="10"/>
        <v>7958</v>
      </c>
      <c r="AK17" s="129">
        <f t="shared" si="10"/>
        <v>4460</v>
      </c>
      <c r="AL17" s="129">
        <f t="shared" si="10"/>
        <v>0</v>
      </c>
      <c r="AM17" s="129">
        <f t="shared" si="10"/>
        <v>0</v>
      </c>
      <c r="AN17" s="129"/>
      <c r="AV17" s="130"/>
      <c r="AW17" s="130"/>
    </row>
    <row r="18" spans="1:49" ht="157.5" customHeight="1" x14ac:dyDescent="0.25">
      <c r="A18" s="131">
        <v>1</v>
      </c>
      <c r="B18" s="132" t="s">
        <v>94</v>
      </c>
      <c r="C18" s="131" t="s">
        <v>95</v>
      </c>
      <c r="D18" s="131">
        <v>94</v>
      </c>
      <c r="E18" s="131">
        <v>94</v>
      </c>
      <c r="F18" s="135" t="s">
        <v>37</v>
      </c>
      <c r="G18" s="135" t="s">
        <v>23</v>
      </c>
      <c r="H18" s="131" t="s">
        <v>98</v>
      </c>
      <c r="I18" s="131" t="s">
        <v>96</v>
      </c>
      <c r="J18" s="131" t="s">
        <v>96</v>
      </c>
      <c r="K18" s="131">
        <v>4</v>
      </c>
      <c r="L18" s="131"/>
      <c r="M18" s="131">
        <v>5.0999999999999996</v>
      </c>
      <c r="N18" s="131"/>
      <c r="O18" s="131"/>
      <c r="P18" s="131">
        <v>4</v>
      </c>
      <c r="Q18" s="131"/>
      <c r="R18" s="131">
        <v>5.0999999999999996</v>
      </c>
      <c r="S18" s="131"/>
      <c r="T18" s="131"/>
      <c r="U18" s="131" t="s">
        <v>97</v>
      </c>
      <c r="V18" s="131"/>
      <c r="W18" s="134">
        <f t="shared" si="6"/>
        <v>13566</v>
      </c>
      <c r="X18" s="134">
        <v>13300</v>
      </c>
      <c r="Y18" s="134"/>
      <c r="Z18" s="134"/>
      <c r="AA18" s="134">
        <v>266</v>
      </c>
      <c r="AB18" s="134">
        <v>266</v>
      </c>
      <c r="AC18" s="134">
        <v>13300</v>
      </c>
      <c r="AD18" s="134">
        <f>AE18+AF18+AG18</f>
        <v>12418</v>
      </c>
      <c r="AE18" s="134">
        <v>1582</v>
      </c>
      <c r="AF18" s="134">
        <v>6376</v>
      </c>
      <c r="AG18" s="134">
        <v>4460</v>
      </c>
      <c r="AH18" s="134"/>
      <c r="AI18" s="134">
        <v>12418</v>
      </c>
      <c r="AJ18" s="134">
        <v>7958</v>
      </c>
      <c r="AK18" s="134">
        <f>AI18-AJ18</f>
        <v>4460</v>
      </c>
      <c r="AL18" s="134"/>
      <c r="AM18" s="134">
        <v>0</v>
      </c>
      <c r="AN18" s="89" t="s">
        <v>506</v>
      </c>
      <c r="AV18" s="136"/>
      <c r="AW18" s="136"/>
    </row>
    <row r="19" spans="1:49" s="116" customFormat="1" ht="38.25" customHeight="1" x14ac:dyDescent="0.25">
      <c r="A19" s="125" t="s">
        <v>275</v>
      </c>
      <c r="B19" s="137" t="s">
        <v>271</v>
      </c>
      <c r="C19" s="125"/>
      <c r="D19" s="125">
        <f>D20</f>
        <v>22</v>
      </c>
      <c r="E19" s="125">
        <f>E20</f>
        <v>22</v>
      </c>
      <c r="F19" s="138"/>
      <c r="G19" s="138"/>
      <c r="H19" s="125"/>
      <c r="I19" s="125"/>
      <c r="J19" s="125"/>
      <c r="K19" s="125">
        <f>K20</f>
        <v>2</v>
      </c>
      <c r="L19" s="125"/>
      <c r="M19" s="125">
        <f>M20</f>
        <v>1.8</v>
      </c>
      <c r="N19" s="125"/>
      <c r="O19" s="125"/>
      <c r="P19" s="125">
        <f>P20</f>
        <v>2</v>
      </c>
      <c r="Q19" s="125"/>
      <c r="R19" s="140">
        <f>R20</f>
        <v>1.9950000000000001</v>
      </c>
      <c r="S19" s="125"/>
      <c r="T19" s="125"/>
      <c r="U19" s="125"/>
      <c r="V19" s="125"/>
      <c r="W19" s="129">
        <f>W20</f>
        <v>4794</v>
      </c>
      <c r="X19" s="129">
        <f t="shared" ref="X19:AM19" si="11">X20</f>
        <v>4700</v>
      </c>
      <c r="Y19" s="129"/>
      <c r="Z19" s="129"/>
      <c r="AA19" s="129">
        <f t="shared" si="11"/>
        <v>94</v>
      </c>
      <c r="AB19" s="129">
        <f t="shared" si="11"/>
        <v>0</v>
      </c>
      <c r="AC19" s="129">
        <f t="shared" si="11"/>
        <v>4700</v>
      </c>
      <c r="AD19" s="129">
        <f t="shared" si="11"/>
        <v>4700</v>
      </c>
      <c r="AE19" s="129">
        <f t="shared" si="11"/>
        <v>559</v>
      </c>
      <c r="AF19" s="129">
        <f t="shared" si="11"/>
        <v>2253</v>
      </c>
      <c r="AG19" s="129">
        <f t="shared" si="11"/>
        <v>1888</v>
      </c>
      <c r="AH19" s="129">
        <f t="shared" si="11"/>
        <v>0</v>
      </c>
      <c r="AI19" s="129">
        <f t="shared" si="11"/>
        <v>3400.348</v>
      </c>
      <c r="AJ19" s="129">
        <f t="shared" si="11"/>
        <v>1880</v>
      </c>
      <c r="AK19" s="129">
        <f t="shared" si="11"/>
        <v>1520.348</v>
      </c>
      <c r="AL19" s="129">
        <f t="shared" si="11"/>
        <v>0</v>
      </c>
      <c r="AM19" s="129">
        <f t="shared" si="11"/>
        <v>0</v>
      </c>
      <c r="AN19" s="129"/>
      <c r="AV19" s="130"/>
      <c r="AW19" s="130"/>
    </row>
    <row r="20" spans="1:49" ht="48" customHeight="1" x14ac:dyDescent="0.25">
      <c r="A20" s="131">
        <v>1</v>
      </c>
      <c r="B20" s="132" t="s">
        <v>99</v>
      </c>
      <c r="C20" s="131" t="s">
        <v>100</v>
      </c>
      <c r="D20" s="131">
        <v>22</v>
      </c>
      <c r="E20" s="131">
        <v>22</v>
      </c>
      <c r="F20" s="135" t="s">
        <v>37</v>
      </c>
      <c r="G20" s="135" t="s">
        <v>23</v>
      </c>
      <c r="H20" s="131" t="s">
        <v>102</v>
      </c>
      <c r="I20" s="131" t="s">
        <v>302</v>
      </c>
      <c r="J20" s="131" t="s">
        <v>348</v>
      </c>
      <c r="K20" s="131">
        <v>2</v>
      </c>
      <c r="L20" s="131"/>
      <c r="M20" s="131">
        <v>1.8</v>
      </c>
      <c r="N20" s="131"/>
      <c r="O20" s="131"/>
      <c r="P20" s="131">
        <v>2</v>
      </c>
      <c r="Q20" s="131"/>
      <c r="R20" s="141">
        <v>1.9950000000000001</v>
      </c>
      <c r="S20" s="131"/>
      <c r="T20" s="131"/>
      <c r="U20" s="131" t="s">
        <v>101</v>
      </c>
      <c r="V20" s="131" t="s">
        <v>101</v>
      </c>
      <c r="W20" s="134">
        <f t="shared" si="6"/>
        <v>4794</v>
      </c>
      <c r="X20" s="134">
        <v>4700</v>
      </c>
      <c r="Y20" s="134"/>
      <c r="Z20" s="134"/>
      <c r="AA20" s="134">
        <v>94</v>
      </c>
      <c r="AB20" s="134"/>
      <c r="AC20" s="134">
        <v>4700</v>
      </c>
      <c r="AD20" s="134">
        <v>4700</v>
      </c>
      <c r="AE20" s="134">
        <v>559</v>
      </c>
      <c r="AF20" s="134">
        <v>2253</v>
      </c>
      <c r="AG20" s="134">
        <f>AD20-AE20-AF20</f>
        <v>1888</v>
      </c>
      <c r="AH20" s="134"/>
      <c r="AI20" s="142">
        <v>3400.348</v>
      </c>
      <c r="AJ20" s="134">
        <v>1880</v>
      </c>
      <c r="AK20" s="134">
        <f>AI20-AJ20</f>
        <v>1520.348</v>
      </c>
      <c r="AL20" s="134"/>
      <c r="AM20" s="134">
        <f>X20-AD20</f>
        <v>0</v>
      </c>
      <c r="AN20" s="89" t="s">
        <v>485</v>
      </c>
      <c r="AO20" s="131"/>
      <c r="AV20" s="136"/>
      <c r="AW20" s="136"/>
    </row>
    <row r="21" spans="1:49" s="116" customFormat="1" ht="42.75" customHeight="1" x14ac:dyDescent="0.25">
      <c r="A21" s="125" t="s">
        <v>280</v>
      </c>
      <c r="B21" s="137" t="s">
        <v>276</v>
      </c>
      <c r="C21" s="125"/>
      <c r="D21" s="125">
        <f>D22</f>
        <v>147</v>
      </c>
      <c r="E21" s="125">
        <f>E22</f>
        <v>147</v>
      </c>
      <c r="F21" s="138"/>
      <c r="G21" s="138"/>
      <c r="H21" s="125"/>
      <c r="I21" s="125"/>
      <c r="J21" s="125"/>
      <c r="K21" s="125">
        <f>K22</f>
        <v>1</v>
      </c>
      <c r="L21" s="125">
        <f>L22</f>
        <v>0.7</v>
      </c>
      <c r="M21" s="125">
        <f>M22</f>
        <v>1.9</v>
      </c>
      <c r="N21" s="125"/>
      <c r="O21" s="125"/>
      <c r="P21" s="125">
        <f>P22</f>
        <v>1</v>
      </c>
      <c r="Q21" s="125">
        <f>Q22</f>
        <v>0.7</v>
      </c>
      <c r="R21" s="125">
        <f>R22</f>
        <v>1.9</v>
      </c>
      <c r="S21" s="125"/>
      <c r="T21" s="125"/>
      <c r="U21" s="125"/>
      <c r="V21" s="125"/>
      <c r="W21" s="129">
        <f>W22</f>
        <v>4692</v>
      </c>
      <c r="X21" s="129">
        <f t="shared" ref="X21:AM21" si="12">X22</f>
        <v>4600</v>
      </c>
      <c r="Y21" s="129"/>
      <c r="Z21" s="129"/>
      <c r="AA21" s="129">
        <f t="shared" si="12"/>
        <v>92</v>
      </c>
      <c r="AB21" s="129">
        <f t="shared" si="12"/>
        <v>0</v>
      </c>
      <c r="AC21" s="129">
        <f t="shared" si="12"/>
        <v>4600</v>
      </c>
      <c r="AD21" s="129">
        <f t="shared" si="12"/>
        <v>4600</v>
      </c>
      <c r="AE21" s="129">
        <f t="shared" si="12"/>
        <v>547</v>
      </c>
      <c r="AF21" s="129">
        <f t="shared" si="12"/>
        <v>2205</v>
      </c>
      <c r="AG21" s="129">
        <f t="shared" si="12"/>
        <v>1848</v>
      </c>
      <c r="AH21" s="129">
        <f t="shared" si="12"/>
        <v>0</v>
      </c>
      <c r="AI21" s="129">
        <f t="shared" si="12"/>
        <v>4614.8540000000003</v>
      </c>
      <c r="AJ21" s="129">
        <f t="shared" si="12"/>
        <v>2752</v>
      </c>
      <c r="AK21" s="129">
        <f t="shared" si="12"/>
        <v>1862.8540000000003</v>
      </c>
      <c r="AL21" s="129">
        <f t="shared" si="12"/>
        <v>0</v>
      </c>
      <c r="AM21" s="129">
        <f t="shared" si="12"/>
        <v>0</v>
      </c>
      <c r="AN21" s="127"/>
      <c r="AV21" s="130"/>
      <c r="AW21" s="130"/>
    </row>
    <row r="22" spans="1:49" ht="60" x14ac:dyDescent="0.25">
      <c r="A22" s="131">
        <v>1</v>
      </c>
      <c r="B22" s="132" t="s">
        <v>106</v>
      </c>
      <c r="C22" s="131" t="s">
        <v>107</v>
      </c>
      <c r="D22" s="131">
        <v>147</v>
      </c>
      <c r="E22" s="131">
        <v>147</v>
      </c>
      <c r="F22" s="135" t="s">
        <v>61</v>
      </c>
      <c r="G22" s="135" t="s">
        <v>23</v>
      </c>
      <c r="H22" s="131" t="s">
        <v>110</v>
      </c>
      <c r="I22" s="131" t="s">
        <v>108</v>
      </c>
      <c r="J22" s="131" t="s">
        <v>108</v>
      </c>
      <c r="K22" s="131">
        <v>1</v>
      </c>
      <c r="L22" s="131">
        <v>0.7</v>
      </c>
      <c r="M22" s="131">
        <v>1.9</v>
      </c>
      <c r="N22" s="131"/>
      <c r="O22" s="131"/>
      <c r="P22" s="131">
        <v>1</v>
      </c>
      <c r="Q22" s="131">
        <v>0.7</v>
      </c>
      <c r="R22" s="131">
        <v>1.9</v>
      </c>
      <c r="S22" s="131"/>
      <c r="T22" s="131"/>
      <c r="U22" s="131" t="s">
        <v>109</v>
      </c>
      <c r="V22" s="131" t="s">
        <v>371</v>
      </c>
      <c r="W22" s="134">
        <f t="shared" ref="W22" si="13">X22+Z22+AA22</f>
        <v>4692</v>
      </c>
      <c r="X22" s="134">
        <v>4600</v>
      </c>
      <c r="Y22" s="134"/>
      <c r="Z22" s="134"/>
      <c r="AA22" s="134">
        <v>92</v>
      </c>
      <c r="AB22" s="134"/>
      <c r="AC22" s="134">
        <v>4600</v>
      </c>
      <c r="AD22" s="134">
        <f>AE22+AF22+AG22</f>
        <v>4600</v>
      </c>
      <c r="AE22" s="134">
        <v>547</v>
      </c>
      <c r="AF22" s="134">
        <v>2205</v>
      </c>
      <c r="AG22" s="134">
        <v>1848</v>
      </c>
      <c r="AH22" s="134"/>
      <c r="AI22" s="134">
        <v>4614.8540000000003</v>
      </c>
      <c r="AJ22" s="134">
        <v>2752</v>
      </c>
      <c r="AK22" s="134">
        <f>AI22-AJ22</f>
        <v>1862.8540000000003</v>
      </c>
      <c r="AL22" s="134"/>
      <c r="AM22" s="134">
        <f>X22-AD22</f>
        <v>0</v>
      </c>
      <c r="AN22" s="89" t="s">
        <v>485</v>
      </c>
      <c r="AV22" s="136"/>
      <c r="AW22" s="136"/>
    </row>
    <row r="23" spans="1:49" s="116" customFormat="1" ht="32.25" customHeight="1" x14ac:dyDescent="0.25">
      <c r="A23" s="125" t="s">
        <v>361</v>
      </c>
      <c r="B23" s="137" t="s">
        <v>395</v>
      </c>
      <c r="C23" s="125"/>
      <c r="D23" s="125">
        <f>D24</f>
        <v>75</v>
      </c>
      <c r="E23" s="125">
        <f>E24</f>
        <v>19</v>
      </c>
      <c r="F23" s="138"/>
      <c r="G23" s="138"/>
      <c r="H23" s="125"/>
      <c r="I23" s="125"/>
      <c r="J23" s="125"/>
      <c r="K23" s="125">
        <f>K24</f>
        <v>1</v>
      </c>
      <c r="L23" s="125"/>
      <c r="M23" s="128">
        <f>M24</f>
        <v>2</v>
      </c>
      <c r="N23" s="125"/>
      <c r="O23" s="125"/>
      <c r="P23" s="128">
        <f>P24</f>
        <v>1</v>
      </c>
      <c r="Q23" s="125"/>
      <c r="R23" s="140">
        <f>R24</f>
        <v>1.776</v>
      </c>
      <c r="S23" s="125"/>
      <c r="T23" s="125"/>
      <c r="U23" s="125"/>
      <c r="V23" s="125"/>
      <c r="W23" s="129">
        <f>W24</f>
        <v>4185.1000000000004</v>
      </c>
      <c r="X23" s="129">
        <f t="shared" ref="X23:AM23" si="14">X24</f>
        <v>4103</v>
      </c>
      <c r="Y23" s="129"/>
      <c r="Z23" s="129"/>
      <c r="AA23" s="129">
        <f t="shared" si="14"/>
        <v>82.1</v>
      </c>
      <c r="AB23" s="129">
        <f t="shared" si="14"/>
        <v>0</v>
      </c>
      <c r="AC23" s="129">
        <f t="shared" si="14"/>
        <v>4103</v>
      </c>
      <c r="AD23" s="129">
        <f t="shared" si="14"/>
        <v>4103</v>
      </c>
      <c r="AE23" s="129">
        <f t="shared" si="14"/>
        <v>488</v>
      </c>
      <c r="AF23" s="129">
        <f t="shared" si="14"/>
        <v>1967</v>
      </c>
      <c r="AG23" s="129">
        <f t="shared" si="14"/>
        <v>1648</v>
      </c>
      <c r="AH23" s="129">
        <f t="shared" si="14"/>
        <v>0</v>
      </c>
      <c r="AI23" s="129">
        <f t="shared" si="14"/>
        <v>4081</v>
      </c>
      <c r="AJ23" s="129">
        <f t="shared" si="14"/>
        <v>2455</v>
      </c>
      <c r="AK23" s="129">
        <f t="shared" si="14"/>
        <v>1626</v>
      </c>
      <c r="AL23" s="129">
        <f t="shared" si="14"/>
        <v>0</v>
      </c>
      <c r="AM23" s="129">
        <f t="shared" si="14"/>
        <v>0</v>
      </c>
      <c r="AN23" s="129"/>
      <c r="AV23" s="130"/>
      <c r="AW23" s="130"/>
    </row>
    <row r="24" spans="1:49" ht="60" x14ac:dyDescent="0.25">
      <c r="A24" s="131">
        <v>1</v>
      </c>
      <c r="B24" s="132" t="s">
        <v>111</v>
      </c>
      <c r="C24" s="131" t="s">
        <v>112</v>
      </c>
      <c r="D24" s="131">
        <v>75</v>
      </c>
      <c r="E24" s="131">
        <v>19</v>
      </c>
      <c r="F24" s="135" t="s">
        <v>37</v>
      </c>
      <c r="G24" s="135" t="s">
        <v>23</v>
      </c>
      <c r="H24" s="131" t="s">
        <v>115</v>
      </c>
      <c r="I24" s="131" t="s">
        <v>113</v>
      </c>
      <c r="J24" s="131" t="s">
        <v>372</v>
      </c>
      <c r="K24" s="131">
        <v>1</v>
      </c>
      <c r="L24" s="131"/>
      <c r="M24" s="133">
        <v>2</v>
      </c>
      <c r="N24" s="131"/>
      <c r="O24" s="131"/>
      <c r="P24" s="131">
        <v>1</v>
      </c>
      <c r="Q24" s="131"/>
      <c r="R24" s="141">
        <v>1.776</v>
      </c>
      <c r="S24" s="131"/>
      <c r="T24" s="131"/>
      <c r="U24" s="131" t="s">
        <v>114</v>
      </c>
      <c r="V24" s="131" t="s">
        <v>373</v>
      </c>
      <c r="W24" s="134">
        <f t="shared" si="6"/>
        <v>4185.1000000000004</v>
      </c>
      <c r="X24" s="134">
        <v>4103</v>
      </c>
      <c r="Y24" s="134"/>
      <c r="Z24" s="134"/>
      <c r="AA24" s="134">
        <v>82.1</v>
      </c>
      <c r="AB24" s="134"/>
      <c r="AC24" s="134">
        <v>4103</v>
      </c>
      <c r="AD24" s="134">
        <v>4103</v>
      </c>
      <c r="AE24" s="134">
        <v>488</v>
      </c>
      <c r="AF24" s="134">
        <v>1967</v>
      </c>
      <c r="AG24" s="134">
        <v>1648</v>
      </c>
      <c r="AH24" s="134"/>
      <c r="AI24" s="134">
        <v>4081</v>
      </c>
      <c r="AJ24" s="134">
        <v>2455</v>
      </c>
      <c r="AK24" s="134">
        <f>AI24-AJ24</f>
        <v>1626</v>
      </c>
      <c r="AL24" s="134"/>
      <c r="AM24" s="134">
        <f>X24-AD24</f>
        <v>0</v>
      </c>
      <c r="AN24" s="89" t="s">
        <v>504</v>
      </c>
      <c r="AV24" s="136"/>
      <c r="AW24" s="136"/>
    </row>
    <row r="25" spans="1:49" s="116" customFormat="1" ht="33.75" customHeight="1" x14ac:dyDescent="0.25">
      <c r="A25" s="125" t="s">
        <v>363</v>
      </c>
      <c r="B25" s="137" t="s">
        <v>281</v>
      </c>
      <c r="C25" s="125"/>
      <c r="D25" s="125">
        <f>D26</f>
        <v>82</v>
      </c>
      <c r="E25" s="125">
        <f>E26</f>
        <v>82</v>
      </c>
      <c r="F25" s="138"/>
      <c r="G25" s="138"/>
      <c r="H25" s="125"/>
      <c r="I25" s="125"/>
      <c r="J25" s="125"/>
      <c r="K25" s="125">
        <f>K26</f>
        <v>2</v>
      </c>
      <c r="L25" s="125"/>
      <c r="M25" s="125">
        <f>M26</f>
        <v>4.5999999999999996</v>
      </c>
      <c r="N25" s="125"/>
      <c r="O25" s="125"/>
      <c r="P25" s="125">
        <f>P26</f>
        <v>2</v>
      </c>
      <c r="Q25" s="125"/>
      <c r="R25" s="125">
        <f>R26</f>
        <v>4.5999999999999996</v>
      </c>
      <c r="S25" s="125"/>
      <c r="T25" s="125"/>
      <c r="U25" s="125"/>
      <c r="V25" s="125"/>
      <c r="W25" s="129">
        <f>W26</f>
        <v>7752</v>
      </c>
      <c r="X25" s="129">
        <f t="shared" ref="X25:AM25" si="15">X26</f>
        <v>7600</v>
      </c>
      <c r="Y25" s="129"/>
      <c r="Z25" s="129"/>
      <c r="AA25" s="129">
        <f t="shared" si="15"/>
        <v>152</v>
      </c>
      <c r="AB25" s="129">
        <f t="shared" si="15"/>
        <v>152</v>
      </c>
      <c r="AC25" s="129">
        <f t="shared" si="15"/>
        <v>7600</v>
      </c>
      <c r="AD25" s="129">
        <f t="shared" si="15"/>
        <v>7600</v>
      </c>
      <c r="AE25" s="129">
        <f t="shared" si="15"/>
        <v>904</v>
      </c>
      <c r="AF25" s="129">
        <f t="shared" si="15"/>
        <v>3644</v>
      </c>
      <c r="AG25" s="129">
        <f t="shared" si="15"/>
        <v>3052</v>
      </c>
      <c r="AH25" s="129">
        <f t="shared" si="15"/>
        <v>0</v>
      </c>
      <c r="AI25" s="129">
        <f t="shared" si="15"/>
        <v>7326.8620000000001</v>
      </c>
      <c r="AJ25" s="129">
        <f t="shared" si="15"/>
        <v>4548</v>
      </c>
      <c r="AK25" s="129">
        <f t="shared" si="15"/>
        <v>2778.8620000000001</v>
      </c>
      <c r="AL25" s="129">
        <f t="shared" si="15"/>
        <v>0</v>
      </c>
      <c r="AM25" s="129">
        <f t="shared" si="15"/>
        <v>0</v>
      </c>
      <c r="AN25" s="129"/>
      <c r="AV25" s="130"/>
      <c r="AW25" s="130"/>
    </row>
    <row r="26" spans="1:49" ht="85.5" customHeight="1" x14ac:dyDescent="0.25">
      <c r="A26" s="131">
        <v>1</v>
      </c>
      <c r="B26" s="132" t="s">
        <v>116</v>
      </c>
      <c r="C26" s="131" t="s">
        <v>117</v>
      </c>
      <c r="D26" s="131">
        <v>82</v>
      </c>
      <c r="E26" s="131">
        <v>82</v>
      </c>
      <c r="F26" s="135" t="s">
        <v>37</v>
      </c>
      <c r="G26" s="135" t="s">
        <v>23</v>
      </c>
      <c r="H26" s="131" t="s">
        <v>120</v>
      </c>
      <c r="I26" s="131" t="s">
        <v>118</v>
      </c>
      <c r="J26" s="131" t="s">
        <v>118</v>
      </c>
      <c r="K26" s="131">
        <v>2</v>
      </c>
      <c r="L26" s="131"/>
      <c r="M26" s="131">
        <v>4.5999999999999996</v>
      </c>
      <c r="N26" s="131"/>
      <c r="O26" s="131"/>
      <c r="P26" s="131">
        <v>2</v>
      </c>
      <c r="Q26" s="131"/>
      <c r="R26" s="131">
        <v>4.5999999999999996</v>
      </c>
      <c r="S26" s="131"/>
      <c r="T26" s="131"/>
      <c r="U26" s="131" t="s">
        <v>119</v>
      </c>
      <c r="V26" s="131"/>
      <c r="W26" s="134">
        <f t="shared" si="6"/>
        <v>7752</v>
      </c>
      <c r="X26" s="134">
        <v>7600</v>
      </c>
      <c r="Y26" s="134"/>
      <c r="Z26" s="134"/>
      <c r="AA26" s="134">
        <v>152</v>
      </c>
      <c r="AB26" s="134">
        <v>152</v>
      </c>
      <c r="AC26" s="134">
        <v>7600</v>
      </c>
      <c r="AD26" s="134">
        <f>AE26+AF26+AG26</f>
        <v>7600</v>
      </c>
      <c r="AE26" s="134">
        <v>904</v>
      </c>
      <c r="AF26" s="134">
        <v>3644</v>
      </c>
      <c r="AG26" s="134">
        <v>3052</v>
      </c>
      <c r="AH26" s="134"/>
      <c r="AI26" s="134">
        <v>7326.8620000000001</v>
      </c>
      <c r="AJ26" s="134">
        <v>4548</v>
      </c>
      <c r="AK26" s="134">
        <f>AI26-AJ26</f>
        <v>2778.8620000000001</v>
      </c>
      <c r="AL26" s="134"/>
      <c r="AM26" s="134">
        <f>X26-AD26</f>
        <v>0</v>
      </c>
      <c r="AN26" s="89" t="s">
        <v>509</v>
      </c>
      <c r="AV26" s="136"/>
      <c r="AW26" s="136"/>
    </row>
    <row r="27" spans="1:49" s="116" customFormat="1" ht="39" customHeight="1" x14ac:dyDescent="0.25">
      <c r="A27" s="125" t="s">
        <v>199</v>
      </c>
      <c r="B27" s="137" t="s">
        <v>396</v>
      </c>
      <c r="C27" s="125"/>
      <c r="D27" s="125"/>
      <c r="E27" s="125"/>
      <c r="F27" s="138"/>
      <c r="G27" s="138"/>
      <c r="H27" s="125"/>
      <c r="I27" s="125"/>
      <c r="J27" s="125"/>
      <c r="K27" s="125"/>
      <c r="L27" s="125"/>
      <c r="M27" s="125"/>
      <c r="N27" s="128">
        <f>N28+N31+N33</f>
        <v>9.5</v>
      </c>
      <c r="O27" s="128">
        <f>O28+O31+O33</f>
        <v>12</v>
      </c>
      <c r="P27" s="128"/>
      <c r="Q27" s="128"/>
      <c r="R27" s="128"/>
      <c r="S27" s="143">
        <f>S28+S31+S33</f>
        <v>8.73</v>
      </c>
      <c r="T27" s="128">
        <f>T28+T31+T33</f>
        <v>7.4</v>
      </c>
      <c r="U27" s="128">
        <f t="shared" ref="U27:AC27" si="16">U28+U31+U33</f>
        <v>0</v>
      </c>
      <c r="V27" s="128">
        <f t="shared" si="16"/>
        <v>0</v>
      </c>
      <c r="W27" s="129">
        <f t="shared" si="16"/>
        <v>37570.699999999997</v>
      </c>
      <c r="X27" s="129">
        <f t="shared" si="16"/>
        <v>20115</v>
      </c>
      <c r="Y27" s="129">
        <f t="shared" si="16"/>
        <v>17294</v>
      </c>
      <c r="Z27" s="129"/>
      <c r="AA27" s="129">
        <f t="shared" si="16"/>
        <v>161.69999999999999</v>
      </c>
      <c r="AB27" s="129">
        <f t="shared" si="16"/>
        <v>902</v>
      </c>
      <c r="AC27" s="129">
        <f t="shared" si="16"/>
        <v>20115</v>
      </c>
      <c r="AD27" s="129">
        <f t="shared" ref="AD27:AM27" si="17">AD28+AD31+AD33</f>
        <v>20115</v>
      </c>
      <c r="AE27" s="129">
        <f t="shared" si="17"/>
        <v>2393</v>
      </c>
      <c r="AF27" s="129">
        <f t="shared" si="17"/>
        <v>9643</v>
      </c>
      <c r="AG27" s="129">
        <f t="shared" si="17"/>
        <v>8079</v>
      </c>
      <c r="AH27" s="129">
        <f t="shared" si="17"/>
        <v>0</v>
      </c>
      <c r="AI27" s="129">
        <f t="shared" si="17"/>
        <v>16349.118999999999</v>
      </c>
      <c r="AJ27" s="129">
        <f t="shared" si="17"/>
        <v>8652</v>
      </c>
      <c r="AK27" s="129">
        <f t="shared" si="17"/>
        <v>5705.67</v>
      </c>
      <c r="AL27" s="129">
        <f t="shared" si="17"/>
        <v>0</v>
      </c>
      <c r="AM27" s="129">
        <f t="shared" si="17"/>
        <v>17294</v>
      </c>
      <c r="AN27" s="129"/>
      <c r="AV27" s="130"/>
      <c r="AW27" s="130"/>
    </row>
    <row r="28" spans="1:49" s="116" customFormat="1" ht="33.75" customHeight="1" x14ac:dyDescent="0.25">
      <c r="A28" s="125" t="s">
        <v>0</v>
      </c>
      <c r="B28" s="126" t="s">
        <v>256</v>
      </c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8">
        <f>SUM(O29:O30)</f>
        <v>12</v>
      </c>
      <c r="P28" s="143"/>
      <c r="Q28" s="143"/>
      <c r="R28" s="143"/>
      <c r="S28" s="143"/>
      <c r="T28" s="143">
        <f>SUM(T29:T30)</f>
        <v>7.4</v>
      </c>
      <c r="U28" s="125"/>
      <c r="V28" s="125"/>
      <c r="W28" s="129">
        <f>SUM(W29:W30)</f>
        <v>22845.7</v>
      </c>
      <c r="X28" s="129">
        <f t="shared" ref="X28:AC28" si="18">SUM(X29:X30)</f>
        <v>5390</v>
      </c>
      <c r="Y28" s="129">
        <f t="shared" si="18"/>
        <v>17294</v>
      </c>
      <c r="Z28" s="129"/>
      <c r="AA28" s="129">
        <f t="shared" si="18"/>
        <v>161.69999999999999</v>
      </c>
      <c r="AB28" s="129">
        <f t="shared" si="18"/>
        <v>162</v>
      </c>
      <c r="AC28" s="129">
        <f t="shared" si="18"/>
        <v>5390</v>
      </c>
      <c r="AD28" s="129">
        <f t="shared" ref="AD28:AM28" si="19">SUM(AD29:AD30)</f>
        <v>5390</v>
      </c>
      <c r="AE28" s="129">
        <f t="shared" si="19"/>
        <v>641</v>
      </c>
      <c r="AF28" s="129">
        <f t="shared" si="19"/>
        <v>2584</v>
      </c>
      <c r="AG28" s="129">
        <f t="shared" si="19"/>
        <v>2165</v>
      </c>
      <c r="AH28" s="129">
        <f t="shared" si="19"/>
        <v>0</v>
      </c>
      <c r="AI28" s="129">
        <f t="shared" si="19"/>
        <v>5216.4489999999996</v>
      </c>
      <c r="AJ28" s="129">
        <f t="shared" si="19"/>
        <v>3225</v>
      </c>
      <c r="AK28" s="129">
        <f t="shared" si="19"/>
        <v>0</v>
      </c>
      <c r="AL28" s="129">
        <f t="shared" si="19"/>
        <v>0</v>
      </c>
      <c r="AM28" s="129">
        <f t="shared" si="19"/>
        <v>17294</v>
      </c>
      <c r="AN28" s="129"/>
      <c r="AV28" s="130"/>
      <c r="AW28" s="130"/>
    </row>
    <row r="29" spans="1:49" ht="81.75" customHeight="1" x14ac:dyDescent="0.25">
      <c r="A29" s="131">
        <v>1</v>
      </c>
      <c r="B29" s="132" t="s">
        <v>255</v>
      </c>
      <c r="C29" s="131" t="s">
        <v>254</v>
      </c>
      <c r="D29" s="131" t="s">
        <v>380</v>
      </c>
      <c r="E29" s="131"/>
      <c r="F29" s="131" t="s">
        <v>249</v>
      </c>
      <c r="G29" s="131" t="s">
        <v>23</v>
      </c>
      <c r="H29" s="131"/>
      <c r="I29" s="131" t="s">
        <v>328</v>
      </c>
      <c r="J29" s="131"/>
      <c r="K29" s="131"/>
      <c r="L29" s="131"/>
      <c r="M29" s="131"/>
      <c r="N29" s="131"/>
      <c r="O29" s="131">
        <v>4.3</v>
      </c>
      <c r="P29" s="131"/>
      <c r="Q29" s="131"/>
      <c r="R29" s="131"/>
      <c r="S29" s="131"/>
      <c r="T29" s="131"/>
      <c r="U29" s="131"/>
      <c r="V29" s="131"/>
      <c r="W29" s="134">
        <f>X29+Z29+Y29+AA29</f>
        <v>17294</v>
      </c>
      <c r="X29" s="134"/>
      <c r="Y29" s="134">
        <v>17294</v>
      </c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>
        <f>Y29</f>
        <v>17294</v>
      </c>
      <c r="AN29" s="131" t="s">
        <v>472</v>
      </c>
      <c r="AV29" s="136"/>
      <c r="AW29" s="136"/>
    </row>
    <row r="30" spans="1:49" ht="159" customHeight="1" x14ac:dyDescent="0.25">
      <c r="A30" s="131">
        <v>2</v>
      </c>
      <c r="B30" s="132" t="s">
        <v>77</v>
      </c>
      <c r="C30" s="131" t="s">
        <v>78</v>
      </c>
      <c r="D30" s="131" t="s">
        <v>380</v>
      </c>
      <c r="E30" s="131"/>
      <c r="F30" s="135" t="s">
        <v>37</v>
      </c>
      <c r="G30" s="135" t="s">
        <v>23</v>
      </c>
      <c r="H30" s="131" t="s">
        <v>80</v>
      </c>
      <c r="I30" s="131" t="s">
        <v>313</v>
      </c>
      <c r="J30" s="131" t="s">
        <v>354</v>
      </c>
      <c r="K30" s="131"/>
      <c r="L30" s="131"/>
      <c r="M30" s="131"/>
      <c r="N30" s="131"/>
      <c r="O30" s="131">
        <v>7.7</v>
      </c>
      <c r="P30" s="131"/>
      <c r="Q30" s="131"/>
      <c r="R30" s="131"/>
      <c r="S30" s="131"/>
      <c r="T30" s="131">
        <v>7.4</v>
      </c>
      <c r="U30" s="131" t="s">
        <v>79</v>
      </c>
      <c r="V30" s="131"/>
      <c r="W30" s="134">
        <f t="shared" ref="W30" si="20">X30+Z30+AA30</f>
        <v>5551.7</v>
      </c>
      <c r="X30" s="134">
        <v>5390</v>
      </c>
      <c r="Y30" s="134"/>
      <c r="Z30" s="134"/>
      <c r="AA30" s="134">
        <v>161.69999999999999</v>
      </c>
      <c r="AB30" s="134">
        <v>162</v>
      </c>
      <c r="AC30" s="134">
        <v>5390</v>
      </c>
      <c r="AD30" s="134">
        <v>5390</v>
      </c>
      <c r="AE30" s="134">
        <v>641</v>
      </c>
      <c r="AF30" s="134">
        <v>2584</v>
      </c>
      <c r="AG30" s="134">
        <f>AD30-AE30-AF30</f>
        <v>2165</v>
      </c>
      <c r="AH30" s="134"/>
      <c r="AI30" s="144">
        <v>5216.4489999999996</v>
      </c>
      <c r="AJ30" s="134">
        <v>3225</v>
      </c>
      <c r="AK30" s="134"/>
      <c r="AL30" s="134"/>
      <c r="AM30" s="134">
        <f>X30-AD30</f>
        <v>0</v>
      </c>
      <c r="AN30" s="89" t="s">
        <v>507</v>
      </c>
      <c r="AO30" s="145"/>
      <c r="AV30" s="136"/>
      <c r="AW30" s="136"/>
    </row>
    <row r="31" spans="1:49" s="116" customFormat="1" ht="39.75" customHeight="1" x14ac:dyDescent="0.25">
      <c r="A31" s="125" t="s">
        <v>1</v>
      </c>
      <c r="B31" s="137" t="s">
        <v>261</v>
      </c>
      <c r="C31" s="125"/>
      <c r="D31" s="125"/>
      <c r="E31" s="125"/>
      <c r="F31" s="138"/>
      <c r="G31" s="138"/>
      <c r="H31" s="125"/>
      <c r="I31" s="125"/>
      <c r="J31" s="125"/>
      <c r="K31" s="125"/>
      <c r="L31" s="125"/>
      <c r="M31" s="125"/>
      <c r="N31" s="128">
        <f>N32</f>
        <v>4</v>
      </c>
      <c r="O31" s="125"/>
      <c r="P31" s="125"/>
      <c r="Q31" s="125"/>
      <c r="R31" s="125"/>
      <c r="S31" s="128">
        <f>S32</f>
        <v>4.5</v>
      </c>
      <c r="T31" s="125"/>
      <c r="U31" s="125"/>
      <c r="V31" s="125"/>
      <c r="W31" s="129">
        <f>W32</f>
        <v>6200</v>
      </c>
      <c r="X31" s="129">
        <f t="shared" ref="X31:AM31" si="21">X32</f>
        <v>6200</v>
      </c>
      <c r="Y31" s="129"/>
      <c r="Z31" s="129"/>
      <c r="AA31" s="129"/>
      <c r="AB31" s="129"/>
      <c r="AC31" s="129">
        <f t="shared" si="21"/>
        <v>6200</v>
      </c>
      <c r="AD31" s="129">
        <f t="shared" si="21"/>
        <v>6200</v>
      </c>
      <c r="AE31" s="129">
        <f t="shared" si="21"/>
        <v>738</v>
      </c>
      <c r="AF31" s="129">
        <f t="shared" si="21"/>
        <v>2972</v>
      </c>
      <c r="AG31" s="129">
        <f t="shared" si="21"/>
        <v>2490</v>
      </c>
      <c r="AH31" s="129">
        <f t="shared" si="21"/>
        <v>0</v>
      </c>
      <c r="AI31" s="129">
        <f t="shared" si="21"/>
        <v>6031.67</v>
      </c>
      <c r="AJ31" s="129">
        <f t="shared" si="21"/>
        <v>2149</v>
      </c>
      <c r="AK31" s="129">
        <f t="shared" si="21"/>
        <v>3882.67</v>
      </c>
      <c r="AL31" s="129">
        <f t="shared" si="21"/>
        <v>0</v>
      </c>
      <c r="AM31" s="129">
        <f t="shared" si="21"/>
        <v>0</v>
      </c>
      <c r="AN31" s="129"/>
      <c r="AV31" s="130"/>
      <c r="AW31" s="130"/>
    </row>
    <row r="32" spans="1:49" ht="48" customHeight="1" x14ac:dyDescent="0.25">
      <c r="A32" s="131">
        <v>1</v>
      </c>
      <c r="B32" s="132" t="s">
        <v>85</v>
      </c>
      <c r="C32" s="131" t="s">
        <v>86</v>
      </c>
      <c r="D32" s="131" t="s">
        <v>380</v>
      </c>
      <c r="E32" s="131"/>
      <c r="F32" s="135" t="s">
        <v>24</v>
      </c>
      <c r="G32" s="135" t="s">
        <v>23</v>
      </c>
      <c r="H32" s="131" t="s">
        <v>88</v>
      </c>
      <c r="I32" s="131" t="s">
        <v>314</v>
      </c>
      <c r="J32" s="131" t="s">
        <v>341</v>
      </c>
      <c r="K32" s="131"/>
      <c r="L32" s="131"/>
      <c r="M32" s="131"/>
      <c r="N32" s="133">
        <v>4</v>
      </c>
      <c r="O32" s="131"/>
      <c r="P32" s="131"/>
      <c r="Q32" s="131"/>
      <c r="R32" s="131"/>
      <c r="S32" s="131">
        <v>4.5</v>
      </c>
      <c r="T32" s="131"/>
      <c r="U32" s="131" t="s">
        <v>87</v>
      </c>
      <c r="V32" s="131" t="s">
        <v>87</v>
      </c>
      <c r="W32" s="134">
        <f t="shared" ref="W32" si="22">X32+Z32+AA32</f>
        <v>6200</v>
      </c>
      <c r="X32" s="134">
        <v>6200</v>
      </c>
      <c r="Y32" s="134"/>
      <c r="Z32" s="134"/>
      <c r="AA32" s="134"/>
      <c r="AB32" s="134"/>
      <c r="AC32" s="134">
        <v>6200</v>
      </c>
      <c r="AD32" s="134">
        <v>6200</v>
      </c>
      <c r="AE32" s="134">
        <v>738</v>
      </c>
      <c r="AF32" s="134">
        <v>2972</v>
      </c>
      <c r="AG32" s="134">
        <f>AD32-AE32-AF32</f>
        <v>2490</v>
      </c>
      <c r="AH32" s="134"/>
      <c r="AI32" s="139">
        <v>6031.67</v>
      </c>
      <c r="AJ32" s="134">
        <v>2149</v>
      </c>
      <c r="AK32" s="134">
        <f>AI32-AJ32</f>
        <v>3882.67</v>
      </c>
      <c r="AL32" s="134"/>
      <c r="AM32" s="134">
        <f t="shared" ref="AM32" si="23">X32-AD32</f>
        <v>0</v>
      </c>
      <c r="AN32" s="89" t="s">
        <v>485</v>
      </c>
      <c r="AO32" s="131"/>
      <c r="AV32" s="136"/>
      <c r="AW32" s="136"/>
    </row>
    <row r="33" spans="1:49" s="116" customFormat="1" ht="48.75" customHeight="1" x14ac:dyDescent="0.25">
      <c r="A33" s="125" t="s">
        <v>265</v>
      </c>
      <c r="B33" s="137" t="s">
        <v>271</v>
      </c>
      <c r="C33" s="125"/>
      <c r="D33" s="125"/>
      <c r="E33" s="125"/>
      <c r="F33" s="138"/>
      <c r="G33" s="138"/>
      <c r="H33" s="125"/>
      <c r="I33" s="125"/>
      <c r="J33" s="125"/>
      <c r="K33" s="125"/>
      <c r="L33" s="125"/>
      <c r="M33" s="125"/>
      <c r="N33" s="125">
        <f>N34</f>
        <v>5.5</v>
      </c>
      <c r="O33" s="125"/>
      <c r="P33" s="125"/>
      <c r="Q33" s="125"/>
      <c r="R33" s="125"/>
      <c r="S33" s="125">
        <f>S34</f>
        <v>4.2300000000000004</v>
      </c>
      <c r="T33" s="125"/>
      <c r="U33" s="125"/>
      <c r="V33" s="125"/>
      <c r="W33" s="129">
        <f>W34</f>
        <v>8525</v>
      </c>
      <c r="X33" s="129">
        <f t="shared" ref="X33:AM33" si="24">X34</f>
        <v>8525</v>
      </c>
      <c r="Y33" s="129"/>
      <c r="Z33" s="129"/>
      <c r="AA33" s="129"/>
      <c r="AB33" s="129">
        <f>AB34</f>
        <v>740</v>
      </c>
      <c r="AC33" s="129">
        <f t="shared" si="24"/>
        <v>8525</v>
      </c>
      <c r="AD33" s="129">
        <f t="shared" si="24"/>
        <v>8525</v>
      </c>
      <c r="AE33" s="129">
        <f t="shared" si="24"/>
        <v>1014</v>
      </c>
      <c r="AF33" s="129">
        <f t="shared" si="24"/>
        <v>4087</v>
      </c>
      <c r="AG33" s="129">
        <f t="shared" si="24"/>
        <v>3424</v>
      </c>
      <c r="AH33" s="129">
        <f t="shared" si="24"/>
        <v>0</v>
      </c>
      <c r="AI33" s="129">
        <f t="shared" si="24"/>
        <v>5101</v>
      </c>
      <c r="AJ33" s="129">
        <f t="shared" si="24"/>
        <v>3278</v>
      </c>
      <c r="AK33" s="129">
        <f t="shared" si="24"/>
        <v>1823</v>
      </c>
      <c r="AL33" s="129">
        <f t="shared" si="24"/>
        <v>0</v>
      </c>
      <c r="AM33" s="129">
        <f t="shared" si="24"/>
        <v>0</v>
      </c>
      <c r="AN33" s="129"/>
      <c r="AV33" s="130"/>
      <c r="AW33" s="130"/>
    </row>
    <row r="34" spans="1:49" ht="121.5" customHeight="1" x14ac:dyDescent="0.25">
      <c r="A34" s="146">
        <v>1</v>
      </c>
      <c r="B34" s="147" t="s">
        <v>103</v>
      </c>
      <c r="C34" s="146" t="s">
        <v>104</v>
      </c>
      <c r="D34" s="146" t="s">
        <v>380</v>
      </c>
      <c r="E34" s="146"/>
      <c r="F34" s="148" t="s">
        <v>24</v>
      </c>
      <c r="G34" s="148" t="s">
        <v>23</v>
      </c>
      <c r="H34" s="146" t="s">
        <v>105</v>
      </c>
      <c r="I34" s="146" t="s">
        <v>315</v>
      </c>
      <c r="J34" s="146" t="s">
        <v>349</v>
      </c>
      <c r="K34" s="146"/>
      <c r="L34" s="146"/>
      <c r="M34" s="146"/>
      <c r="N34" s="146">
        <v>5.5</v>
      </c>
      <c r="O34" s="146"/>
      <c r="P34" s="146"/>
      <c r="Q34" s="146"/>
      <c r="R34" s="146"/>
      <c r="S34" s="146">
        <v>4.2300000000000004</v>
      </c>
      <c r="T34" s="146"/>
      <c r="U34" s="146" t="s">
        <v>50</v>
      </c>
      <c r="V34" s="146" t="s">
        <v>50</v>
      </c>
      <c r="W34" s="149">
        <f t="shared" ref="W34" si="25">X34+Z34+AA34</f>
        <v>8525</v>
      </c>
      <c r="X34" s="149">
        <v>8525</v>
      </c>
      <c r="Y34" s="149"/>
      <c r="Z34" s="149"/>
      <c r="AA34" s="149"/>
      <c r="AB34" s="149">
        <v>740</v>
      </c>
      <c r="AC34" s="149">
        <v>8525</v>
      </c>
      <c r="AD34" s="149">
        <f>AE34+AF34+AG34</f>
        <v>8525</v>
      </c>
      <c r="AE34" s="149">
        <v>1014</v>
      </c>
      <c r="AF34" s="149">
        <v>4087</v>
      </c>
      <c r="AG34" s="149">
        <v>3424</v>
      </c>
      <c r="AH34" s="149"/>
      <c r="AI34" s="149">
        <v>5101</v>
      </c>
      <c r="AJ34" s="149">
        <v>3278</v>
      </c>
      <c r="AK34" s="149">
        <f>AI34-AJ34</f>
        <v>1823</v>
      </c>
      <c r="AL34" s="149"/>
      <c r="AM34" s="149">
        <f t="shared" ref="AM34" si="26">X34-AD34</f>
        <v>0</v>
      </c>
      <c r="AN34" s="150" t="s">
        <v>488</v>
      </c>
      <c r="AO34" s="131"/>
      <c r="AV34" s="136"/>
      <c r="AW34" s="136"/>
    </row>
  </sheetData>
  <mergeCells count="45">
    <mergeCell ref="A1:AN1"/>
    <mergeCell ref="AA2:AN2"/>
    <mergeCell ref="A3:A7"/>
    <mergeCell ref="B3:B7"/>
    <mergeCell ref="C3:C7"/>
    <mergeCell ref="E3:E7"/>
    <mergeCell ref="F3:F7"/>
    <mergeCell ref="H3:H7"/>
    <mergeCell ref="I3:J4"/>
    <mergeCell ref="W5:W7"/>
    <mergeCell ref="X5:AA5"/>
    <mergeCell ref="AD5:AD7"/>
    <mergeCell ref="U3:V7"/>
    <mergeCell ref="W3:AA4"/>
    <mergeCell ref="AC3:AC7"/>
    <mergeCell ref="AM3:AM7"/>
    <mergeCell ref="AN3:AN7"/>
    <mergeCell ref="AJ5:AJ7"/>
    <mergeCell ref="AK5:AK7"/>
    <mergeCell ref="AI5:AI7"/>
    <mergeCell ref="AL5:AL7"/>
    <mergeCell ref="D3:D7"/>
    <mergeCell ref="G3:G7"/>
    <mergeCell ref="K3:O4"/>
    <mergeCell ref="K5:M5"/>
    <mergeCell ref="N5:O5"/>
    <mergeCell ref="K6:K7"/>
    <mergeCell ref="L6:M6"/>
    <mergeCell ref="N6:O6"/>
    <mergeCell ref="I5:I7"/>
    <mergeCell ref="J5:J7"/>
    <mergeCell ref="P6:P7"/>
    <mergeCell ref="Q6:R6"/>
    <mergeCell ref="S6:T6"/>
    <mergeCell ref="AH5:AH7"/>
    <mergeCell ref="AI3:AL4"/>
    <mergeCell ref="AD3:AH4"/>
    <mergeCell ref="P3:T4"/>
    <mergeCell ref="P5:R5"/>
    <mergeCell ref="S5:T5"/>
    <mergeCell ref="X6:X7"/>
    <mergeCell ref="Y6:Y7"/>
    <mergeCell ref="Z6:AA6"/>
    <mergeCell ref="AB3:AB7"/>
    <mergeCell ref="AE5:AG7"/>
  </mergeCells>
  <printOptions horizontalCentered="1"/>
  <pageMargins left="0.15748031496063" right="0.15748031496063" top="0.511811023622047" bottom="0.511811023622047" header="0.31496062992126" footer="0.31496062992126"/>
  <pageSetup paperSize="9" scale="46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0"/>
  <sheetViews>
    <sheetView zoomScale="85" zoomScaleNormal="85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E11" sqref="E11"/>
    </sheetView>
  </sheetViews>
  <sheetFormatPr defaultColWidth="9" defaultRowHeight="15" x14ac:dyDescent="0.25"/>
  <cols>
    <col min="1" max="1" width="7" style="152" customWidth="1"/>
    <col min="2" max="2" width="21.875" style="153" customWidth="1"/>
    <col min="3" max="3" width="15" style="152" customWidth="1"/>
    <col min="4" max="4" width="10.125" style="152" customWidth="1"/>
    <col min="5" max="5" width="9.5" style="152" customWidth="1"/>
    <col min="6" max="6" width="12.625" style="152" customWidth="1"/>
    <col min="7" max="7" width="12.5" style="152" customWidth="1"/>
    <col min="8" max="8" width="12.875" style="152" customWidth="1"/>
    <col min="9" max="9" width="9.125" style="152" customWidth="1"/>
    <col min="10" max="10" width="10.375" style="152" customWidth="1"/>
    <col min="11" max="13" width="12.125" style="152" customWidth="1"/>
    <col min="14" max="15" width="8.875" style="152" customWidth="1"/>
    <col min="16" max="16" width="8.625" style="152" hidden="1" customWidth="1"/>
    <col min="17" max="17" width="7.5" style="152" customWidth="1"/>
    <col min="18" max="18" width="8.25" style="152" customWidth="1"/>
    <col min="19" max="19" width="9.5" style="152" customWidth="1"/>
    <col min="20" max="20" width="10.625" style="152" customWidth="1"/>
    <col min="21" max="21" width="9.375" style="152" customWidth="1"/>
    <col min="22" max="22" width="9.5" style="152" hidden="1" customWidth="1"/>
    <col min="23" max="24" width="9" style="152" hidden="1" customWidth="1"/>
    <col min="25" max="25" width="9" style="152" customWidth="1"/>
    <col min="26" max="26" width="10.75" style="152" customWidth="1"/>
    <col min="27" max="27" width="11.625" style="152" hidden="1" customWidth="1"/>
    <col min="28" max="28" width="11.125" style="152" hidden="1" customWidth="1"/>
    <col min="29" max="29" width="10.125" style="152" customWidth="1"/>
    <col min="30" max="30" width="9.5" style="152" customWidth="1"/>
    <col min="31" max="31" width="16.125" style="152" customWidth="1"/>
    <col min="32" max="32" width="21.25" style="152" customWidth="1"/>
    <col min="33" max="33" width="15.875" style="152" customWidth="1"/>
    <col min="34" max="34" width="8" style="152" customWidth="1"/>
    <col min="35" max="35" width="10.25" style="152" customWidth="1"/>
    <col min="36" max="36" width="5" style="152" customWidth="1"/>
    <col min="37" max="37" width="11" style="152" customWidth="1"/>
    <col min="38" max="38" width="9" style="152"/>
    <col min="39" max="39" width="11.5" style="152" customWidth="1"/>
    <col min="40" max="16384" width="9" style="152"/>
  </cols>
  <sheetData>
    <row r="1" spans="1:40" s="151" customFormat="1" ht="47.25" customHeight="1" x14ac:dyDescent="0.25">
      <c r="A1" s="259" t="s">
        <v>533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</row>
    <row r="2" spans="1:40" ht="15.75" customHeight="1" x14ac:dyDescent="0.25">
      <c r="R2" s="292" t="s">
        <v>2</v>
      </c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</row>
    <row r="3" spans="1:40" s="151" customFormat="1" ht="22.5" customHeight="1" x14ac:dyDescent="0.25">
      <c r="A3" s="282" t="s">
        <v>3</v>
      </c>
      <c r="B3" s="282" t="s">
        <v>4</v>
      </c>
      <c r="C3" s="282" t="s">
        <v>5</v>
      </c>
      <c r="D3" s="282" t="s">
        <v>6</v>
      </c>
      <c r="E3" s="282" t="s">
        <v>7</v>
      </c>
      <c r="F3" s="282" t="s">
        <v>10</v>
      </c>
      <c r="G3" s="282" t="s">
        <v>8</v>
      </c>
      <c r="H3" s="282"/>
      <c r="I3" s="283" t="s">
        <v>382</v>
      </c>
      <c r="J3" s="283" t="s">
        <v>409</v>
      </c>
      <c r="K3" s="283" t="s">
        <v>410</v>
      </c>
      <c r="L3" s="282" t="s">
        <v>9</v>
      </c>
      <c r="M3" s="282" t="s">
        <v>427</v>
      </c>
      <c r="N3" s="286" t="s">
        <v>11</v>
      </c>
      <c r="O3" s="287"/>
      <c r="P3" s="287"/>
      <c r="Q3" s="287"/>
      <c r="R3" s="288"/>
      <c r="S3" s="283" t="s">
        <v>441</v>
      </c>
      <c r="T3" s="283" t="s">
        <v>378</v>
      </c>
      <c r="U3" s="286" t="s">
        <v>300</v>
      </c>
      <c r="V3" s="287"/>
      <c r="W3" s="287"/>
      <c r="X3" s="287"/>
      <c r="Y3" s="288"/>
      <c r="Z3" s="286" t="s">
        <v>443</v>
      </c>
      <c r="AA3" s="287"/>
      <c r="AB3" s="287"/>
      <c r="AC3" s="288"/>
      <c r="AD3" s="283" t="s">
        <v>392</v>
      </c>
      <c r="AE3" s="282" t="s">
        <v>333</v>
      </c>
    </row>
    <row r="4" spans="1:40" s="151" customFormat="1" ht="14.25" customHeight="1" x14ac:dyDescent="0.25">
      <c r="A4" s="282"/>
      <c r="B4" s="282"/>
      <c r="C4" s="282"/>
      <c r="D4" s="282"/>
      <c r="E4" s="282"/>
      <c r="F4" s="282"/>
      <c r="G4" s="282"/>
      <c r="H4" s="282"/>
      <c r="I4" s="284"/>
      <c r="J4" s="284"/>
      <c r="K4" s="284"/>
      <c r="L4" s="282"/>
      <c r="M4" s="282"/>
      <c r="N4" s="289"/>
      <c r="O4" s="290"/>
      <c r="P4" s="290"/>
      <c r="Q4" s="290"/>
      <c r="R4" s="291"/>
      <c r="S4" s="284"/>
      <c r="T4" s="284"/>
      <c r="U4" s="289"/>
      <c r="V4" s="290"/>
      <c r="W4" s="290"/>
      <c r="X4" s="290"/>
      <c r="Y4" s="291"/>
      <c r="Z4" s="289"/>
      <c r="AA4" s="290"/>
      <c r="AB4" s="290"/>
      <c r="AC4" s="291"/>
      <c r="AD4" s="284"/>
      <c r="AE4" s="282"/>
    </row>
    <row r="5" spans="1:40" s="151" customFormat="1" ht="18.75" customHeight="1" x14ac:dyDescent="0.25">
      <c r="A5" s="282"/>
      <c r="B5" s="282"/>
      <c r="C5" s="282"/>
      <c r="D5" s="282"/>
      <c r="E5" s="282"/>
      <c r="F5" s="282"/>
      <c r="G5" s="282" t="s">
        <v>297</v>
      </c>
      <c r="H5" s="282" t="s">
        <v>355</v>
      </c>
      <c r="I5" s="284"/>
      <c r="J5" s="284"/>
      <c r="K5" s="284"/>
      <c r="L5" s="282"/>
      <c r="M5" s="282"/>
      <c r="N5" s="282" t="s">
        <v>12</v>
      </c>
      <c r="O5" s="282" t="s">
        <v>13</v>
      </c>
      <c r="P5" s="282"/>
      <c r="Q5" s="282"/>
      <c r="R5" s="282"/>
      <c r="S5" s="284"/>
      <c r="T5" s="284"/>
      <c r="U5" s="282" t="s">
        <v>12</v>
      </c>
      <c r="V5" s="286" t="s">
        <v>493</v>
      </c>
      <c r="W5" s="287"/>
      <c r="X5" s="288"/>
      <c r="Y5" s="283" t="s">
        <v>481</v>
      </c>
      <c r="Z5" s="282" t="s">
        <v>501</v>
      </c>
      <c r="AA5" s="282" t="s">
        <v>444</v>
      </c>
      <c r="AB5" s="282" t="s">
        <v>495</v>
      </c>
      <c r="AC5" s="282" t="s">
        <v>482</v>
      </c>
      <c r="AD5" s="284"/>
      <c r="AE5" s="282"/>
    </row>
    <row r="6" spans="1:40" s="151" customFormat="1" ht="15.75" customHeight="1" x14ac:dyDescent="0.25">
      <c r="A6" s="282"/>
      <c r="B6" s="282"/>
      <c r="C6" s="282"/>
      <c r="D6" s="282"/>
      <c r="E6" s="282"/>
      <c r="F6" s="282"/>
      <c r="G6" s="282"/>
      <c r="H6" s="282"/>
      <c r="I6" s="284"/>
      <c r="J6" s="284"/>
      <c r="K6" s="284"/>
      <c r="L6" s="282"/>
      <c r="M6" s="282"/>
      <c r="N6" s="282"/>
      <c r="O6" s="282" t="s">
        <v>14</v>
      </c>
      <c r="P6" s="282" t="s">
        <v>15</v>
      </c>
      <c r="Q6" s="282" t="s">
        <v>16</v>
      </c>
      <c r="R6" s="282"/>
      <c r="S6" s="284"/>
      <c r="T6" s="284"/>
      <c r="U6" s="282"/>
      <c r="V6" s="293"/>
      <c r="W6" s="294"/>
      <c r="X6" s="295"/>
      <c r="Y6" s="284"/>
      <c r="Z6" s="282"/>
      <c r="AA6" s="282"/>
      <c r="AB6" s="282"/>
      <c r="AC6" s="282"/>
      <c r="AD6" s="284"/>
      <c r="AE6" s="282"/>
    </row>
    <row r="7" spans="1:40" s="151" customFormat="1" ht="69.75" customHeight="1" x14ac:dyDescent="0.25">
      <c r="A7" s="282"/>
      <c r="B7" s="282"/>
      <c r="C7" s="282"/>
      <c r="D7" s="282"/>
      <c r="E7" s="282"/>
      <c r="F7" s="282"/>
      <c r="G7" s="282"/>
      <c r="H7" s="282"/>
      <c r="I7" s="285"/>
      <c r="J7" s="285"/>
      <c r="K7" s="285"/>
      <c r="L7" s="282"/>
      <c r="M7" s="282"/>
      <c r="N7" s="282"/>
      <c r="O7" s="282"/>
      <c r="P7" s="282"/>
      <c r="Q7" s="154" t="s">
        <v>17</v>
      </c>
      <c r="R7" s="154" t="s">
        <v>18</v>
      </c>
      <c r="S7" s="285"/>
      <c r="T7" s="285"/>
      <c r="U7" s="282"/>
      <c r="V7" s="289"/>
      <c r="W7" s="290"/>
      <c r="X7" s="291"/>
      <c r="Y7" s="285"/>
      <c r="Z7" s="282"/>
      <c r="AA7" s="282"/>
      <c r="AB7" s="282"/>
      <c r="AC7" s="282"/>
      <c r="AD7" s="285"/>
      <c r="AE7" s="282"/>
    </row>
    <row r="8" spans="1:40" s="151" customFormat="1" ht="27.75" customHeight="1" x14ac:dyDescent="0.25">
      <c r="A8" s="154"/>
      <c r="B8" s="154" t="s">
        <v>19</v>
      </c>
      <c r="C8" s="154"/>
      <c r="D8" s="154"/>
      <c r="E8" s="154"/>
      <c r="F8" s="154"/>
      <c r="G8" s="154"/>
      <c r="H8" s="154"/>
      <c r="I8" s="154"/>
      <c r="J8" s="155">
        <f>J9+J12+J14+J17+J19</f>
        <v>50.5</v>
      </c>
      <c r="K8" s="156">
        <f>K9+K12+K14+K17+K19</f>
        <v>52.727000000000004</v>
      </c>
      <c r="L8" s="154"/>
      <c r="M8" s="154"/>
      <c r="N8" s="157">
        <f>N9+N12+N14+N17+N19</f>
        <v>78275</v>
      </c>
      <c r="O8" s="157">
        <f>O9+O12+O14+O17+O19</f>
        <v>78275</v>
      </c>
      <c r="P8" s="157"/>
      <c r="Q8" s="157"/>
      <c r="R8" s="157"/>
      <c r="S8" s="157">
        <f>S9+S12+S14+S17+S19</f>
        <v>4375</v>
      </c>
      <c r="T8" s="157">
        <f>T9+T12+T14+T17+T19</f>
        <v>78275</v>
      </c>
      <c r="U8" s="157">
        <f>U9+U12+U14+U17+U19</f>
        <v>77043.558000000005</v>
      </c>
      <c r="V8" s="157">
        <f t="shared" ref="V8:Y8" si="0">V9+V12+V14+V17+V19</f>
        <v>0</v>
      </c>
      <c r="W8" s="157">
        <f t="shared" si="0"/>
        <v>20150.558000000001</v>
      </c>
      <c r="X8" s="157">
        <f t="shared" si="0"/>
        <v>34067</v>
      </c>
      <c r="Y8" s="157">
        <f t="shared" si="0"/>
        <v>22826</v>
      </c>
      <c r="Z8" s="157">
        <f>Z9+Z12+Z14+Z17+Z19</f>
        <v>70825.623999999996</v>
      </c>
      <c r="AA8" s="157">
        <f t="shared" ref="AA8:AC8" si="1">AA9+AA12+AA14+AA17+AA19</f>
        <v>19247.558000000001</v>
      </c>
      <c r="AB8" s="157">
        <f t="shared" si="1"/>
        <v>34106.67</v>
      </c>
      <c r="AC8" s="157">
        <f t="shared" si="1"/>
        <v>17471.396000000001</v>
      </c>
      <c r="AD8" s="157">
        <f t="shared" ref="AD8" si="2">AD9+AD12+AD14+AD17+AD19</f>
        <v>1143.4419999999991</v>
      </c>
      <c r="AE8" s="157"/>
    </row>
    <row r="9" spans="1:40" s="151" customFormat="1" ht="33.75" customHeight="1" x14ac:dyDescent="0.25">
      <c r="A9" s="158" t="s">
        <v>0</v>
      </c>
      <c r="B9" s="159" t="s">
        <v>261</v>
      </c>
      <c r="C9" s="158"/>
      <c r="D9" s="158"/>
      <c r="E9" s="158"/>
      <c r="F9" s="158"/>
      <c r="G9" s="158"/>
      <c r="H9" s="158"/>
      <c r="I9" s="158"/>
      <c r="J9" s="160">
        <f>J10+J11</f>
        <v>13</v>
      </c>
      <c r="K9" s="160">
        <f>K10+K11</f>
        <v>16</v>
      </c>
      <c r="L9" s="158"/>
      <c r="M9" s="158"/>
      <c r="N9" s="161">
        <f>N10+N11</f>
        <v>20150</v>
      </c>
      <c r="O9" s="161">
        <f>O10+O11</f>
        <v>20150</v>
      </c>
      <c r="P9" s="161"/>
      <c r="Q9" s="161"/>
      <c r="R9" s="162"/>
      <c r="S9" s="161">
        <f>S10+S11</f>
        <v>0</v>
      </c>
      <c r="T9" s="161">
        <f>T10+T11</f>
        <v>20150</v>
      </c>
      <c r="U9" s="161">
        <f t="shared" ref="U9:AC9" si="3">U10+U11</f>
        <v>19780</v>
      </c>
      <c r="V9" s="161">
        <f t="shared" si="3"/>
        <v>0</v>
      </c>
      <c r="W9" s="161">
        <f t="shared" si="3"/>
        <v>4030</v>
      </c>
      <c r="X9" s="161">
        <f t="shared" si="3"/>
        <v>10163</v>
      </c>
      <c r="Y9" s="161">
        <f t="shared" si="3"/>
        <v>5587</v>
      </c>
      <c r="Z9" s="161">
        <f t="shared" si="3"/>
        <v>19778.245999999999</v>
      </c>
      <c r="AA9" s="161">
        <f t="shared" si="3"/>
        <v>4030</v>
      </c>
      <c r="AB9" s="161">
        <f t="shared" si="3"/>
        <v>10162.583999999999</v>
      </c>
      <c r="AC9" s="161">
        <f t="shared" si="3"/>
        <v>5585.6620000000003</v>
      </c>
      <c r="AD9" s="161">
        <f t="shared" ref="AD9" si="4">AD10+AD11</f>
        <v>370</v>
      </c>
      <c r="AE9" s="161"/>
      <c r="AM9" s="163"/>
      <c r="AN9" s="163"/>
    </row>
    <row r="10" spans="1:40" ht="46.5" customHeight="1" x14ac:dyDescent="0.25">
      <c r="A10" s="164">
        <v>1</v>
      </c>
      <c r="B10" s="165" t="s">
        <v>121</v>
      </c>
      <c r="C10" s="164" t="s">
        <v>36</v>
      </c>
      <c r="D10" s="166" t="s">
        <v>122</v>
      </c>
      <c r="E10" s="166" t="s">
        <v>24</v>
      </c>
      <c r="F10" s="167" t="s">
        <v>285</v>
      </c>
      <c r="G10" s="164" t="s">
        <v>305</v>
      </c>
      <c r="H10" s="164" t="s">
        <v>342</v>
      </c>
      <c r="I10" s="164" t="s">
        <v>384</v>
      </c>
      <c r="J10" s="168">
        <v>8</v>
      </c>
      <c r="K10" s="168">
        <v>10.4</v>
      </c>
      <c r="L10" s="164" t="s">
        <v>123</v>
      </c>
      <c r="M10" s="164" t="s">
        <v>123</v>
      </c>
      <c r="N10" s="169">
        <f t="shared" ref="N10:N20" si="5">O10+Q10+R10</f>
        <v>12400</v>
      </c>
      <c r="O10" s="169">
        <v>12400</v>
      </c>
      <c r="P10" s="169"/>
      <c r="Q10" s="169"/>
      <c r="R10" s="169"/>
      <c r="S10" s="169"/>
      <c r="T10" s="169">
        <v>12400</v>
      </c>
      <c r="U10" s="169">
        <v>12202</v>
      </c>
      <c r="V10" s="169"/>
      <c r="W10" s="169">
        <v>2480</v>
      </c>
      <c r="X10" s="169">
        <f>U10-W10-Y10</f>
        <v>5890</v>
      </c>
      <c r="Y10" s="169">
        <f>4030-198</f>
        <v>3832</v>
      </c>
      <c r="Z10" s="170">
        <v>12201.489</v>
      </c>
      <c r="AA10" s="169">
        <v>2480</v>
      </c>
      <c r="AB10" s="169">
        <f>Z10-AA10-AC10</f>
        <v>5890</v>
      </c>
      <c r="AC10" s="169">
        <v>3831.489</v>
      </c>
      <c r="AD10" s="169">
        <f>O10-U10</f>
        <v>198</v>
      </c>
      <c r="AE10" s="171" t="s">
        <v>485</v>
      </c>
      <c r="AF10" s="164"/>
      <c r="AM10" s="172"/>
      <c r="AN10" s="172"/>
    </row>
    <row r="11" spans="1:40" ht="98.25" customHeight="1" x14ac:dyDescent="0.25">
      <c r="A11" s="164">
        <v>2</v>
      </c>
      <c r="B11" s="165" t="s">
        <v>124</v>
      </c>
      <c r="C11" s="164" t="s">
        <v>332</v>
      </c>
      <c r="D11" s="166" t="s">
        <v>122</v>
      </c>
      <c r="E11" s="166" t="s">
        <v>24</v>
      </c>
      <c r="F11" s="167" t="s">
        <v>286</v>
      </c>
      <c r="G11" s="164" t="s">
        <v>316</v>
      </c>
      <c r="H11" s="164" t="s">
        <v>343</v>
      </c>
      <c r="I11" s="164" t="s">
        <v>384</v>
      </c>
      <c r="J11" s="168">
        <v>5</v>
      </c>
      <c r="K11" s="168">
        <v>5.6</v>
      </c>
      <c r="L11" s="164" t="s">
        <v>125</v>
      </c>
      <c r="M11" s="164" t="s">
        <v>467</v>
      </c>
      <c r="N11" s="169">
        <f t="shared" si="5"/>
        <v>7750</v>
      </c>
      <c r="O11" s="169">
        <v>7750</v>
      </c>
      <c r="P11" s="169"/>
      <c r="Q11" s="169"/>
      <c r="R11" s="169"/>
      <c r="S11" s="169"/>
      <c r="T11" s="169">
        <v>7750</v>
      </c>
      <c r="U11" s="169">
        <v>7578</v>
      </c>
      <c r="V11" s="169"/>
      <c r="W11" s="169">
        <v>1550</v>
      </c>
      <c r="X11" s="169">
        <f>U11-W11-Y11</f>
        <v>4273</v>
      </c>
      <c r="Y11" s="169">
        <f>1927-172</f>
        <v>1755</v>
      </c>
      <c r="Z11" s="170">
        <v>7576.7569999999996</v>
      </c>
      <c r="AA11" s="169">
        <v>1550</v>
      </c>
      <c r="AB11" s="169">
        <f>Z11-AA11-AC11</f>
        <v>4272.5839999999998</v>
      </c>
      <c r="AC11" s="169">
        <v>1754.173</v>
      </c>
      <c r="AD11" s="169">
        <f>O11-U11</f>
        <v>172</v>
      </c>
      <c r="AE11" s="171" t="s">
        <v>485</v>
      </c>
      <c r="AF11" s="164"/>
      <c r="AM11" s="172"/>
      <c r="AN11" s="172"/>
    </row>
    <row r="12" spans="1:40" s="151" customFormat="1" ht="32.25" customHeight="1" x14ac:dyDescent="0.25">
      <c r="A12" s="173" t="s">
        <v>1</v>
      </c>
      <c r="B12" s="174" t="s">
        <v>266</v>
      </c>
      <c r="C12" s="173"/>
      <c r="D12" s="175"/>
      <c r="E12" s="175"/>
      <c r="F12" s="176"/>
      <c r="G12" s="173"/>
      <c r="H12" s="173"/>
      <c r="I12" s="173"/>
      <c r="J12" s="177">
        <f>J13</f>
        <v>1.5</v>
      </c>
      <c r="K12" s="177">
        <f>K13</f>
        <v>1.5</v>
      </c>
      <c r="L12" s="173"/>
      <c r="M12" s="173"/>
      <c r="N12" s="178">
        <f>N13</f>
        <v>2325</v>
      </c>
      <c r="O12" s="178">
        <f>O13</f>
        <v>2325</v>
      </c>
      <c r="P12" s="178"/>
      <c r="Q12" s="178"/>
      <c r="R12" s="178"/>
      <c r="S12" s="178"/>
      <c r="T12" s="178">
        <f>T13</f>
        <v>2325</v>
      </c>
      <c r="U12" s="178">
        <f t="shared" ref="U12:AC12" si="6">U13</f>
        <v>2237</v>
      </c>
      <c r="V12" s="178">
        <f t="shared" si="6"/>
        <v>0</v>
      </c>
      <c r="W12" s="178">
        <f t="shared" si="6"/>
        <v>465</v>
      </c>
      <c r="X12" s="178">
        <f t="shared" si="6"/>
        <v>1616</v>
      </c>
      <c r="Y12" s="178">
        <f t="shared" si="6"/>
        <v>156</v>
      </c>
      <c r="Z12" s="178">
        <f t="shared" si="6"/>
        <v>2236.3180000000002</v>
      </c>
      <c r="AA12" s="178">
        <f t="shared" si="6"/>
        <v>465</v>
      </c>
      <c r="AB12" s="178">
        <f t="shared" si="6"/>
        <v>1615.6050000000002</v>
      </c>
      <c r="AC12" s="178">
        <f t="shared" si="6"/>
        <v>155.71299999999999</v>
      </c>
      <c r="AD12" s="178">
        <f t="shared" ref="AD12" si="7">AD13</f>
        <v>0</v>
      </c>
      <c r="AE12" s="178"/>
      <c r="AM12" s="163"/>
      <c r="AN12" s="163"/>
    </row>
    <row r="13" spans="1:40" ht="90" customHeight="1" x14ac:dyDescent="0.25">
      <c r="A13" s="164">
        <v>1</v>
      </c>
      <c r="B13" s="165" t="s">
        <v>126</v>
      </c>
      <c r="C13" s="179" t="s">
        <v>127</v>
      </c>
      <c r="D13" s="166" t="s">
        <v>122</v>
      </c>
      <c r="E13" s="166" t="s">
        <v>24</v>
      </c>
      <c r="F13" s="167" t="s">
        <v>287</v>
      </c>
      <c r="G13" s="164" t="s">
        <v>317</v>
      </c>
      <c r="H13" s="164" t="s">
        <v>317</v>
      </c>
      <c r="I13" s="164" t="s">
        <v>384</v>
      </c>
      <c r="J13" s="168">
        <v>1.5</v>
      </c>
      <c r="K13" s="168">
        <v>1.5</v>
      </c>
      <c r="L13" s="164" t="s">
        <v>128</v>
      </c>
      <c r="M13" s="164" t="s">
        <v>435</v>
      </c>
      <c r="N13" s="169">
        <f t="shared" si="5"/>
        <v>2325</v>
      </c>
      <c r="O13" s="169">
        <v>2325</v>
      </c>
      <c r="P13" s="169"/>
      <c r="Q13" s="169"/>
      <c r="R13" s="169"/>
      <c r="S13" s="169"/>
      <c r="T13" s="169">
        <v>2325</v>
      </c>
      <c r="U13" s="170">
        <v>2237</v>
      </c>
      <c r="V13" s="169"/>
      <c r="W13" s="169">
        <v>465</v>
      </c>
      <c r="X13" s="169">
        <f>U13-W13-Y13</f>
        <v>1616</v>
      </c>
      <c r="Y13" s="169">
        <v>156</v>
      </c>
      <c r="Z13" s="170">
        <v>2236.3180000000002</v>
      </c>
      <c r="AA13" s="169">
        <v>465</v>
      </c>
      <c r="AB13" s="169">
        <f>Z13-AA13-AC13</f>
        <v>1615.6050000000002</v>
      </c>
      <c r="AC13" s="169">
        <v>155.71299999999999</v>
      </c>
      <c r="AD13" s="169">
        <v>0</v>
      </c>
      <c r="AE13" s="171" t="s">
        <v>497</v>
      </c>
      <c r="AF13" s="164"/>
      <c r="AM13" s="172"/>
      <c r="AN13" s="172"/>
    </row>
    <row r="14" spans="1:40" s="151" customFormat="1" ht="35.25" customHeight="1" x14ac:dyDescent="0.25">
      <c r="A14" s="173" t="s">
        <v>265</v>
      </c>
      <c r="B14" s="174" t="s">
        <v>271</v>
      </c>
      <c r="C14" s="180"/>
      <c r="D14" s="175"/>
      <c r="E14" s="175"/>
      <c r="F14" s="176"/>
      <c r="G14" s="173"/>
      <c r="H14" s="173"/>
      <c r="I14" s="173"/>
      <c r="J14" s="177">
        <f>J15+J16</f>
        <v>25</v>
      </c>
      <c r="K14" s="177">
        <f>K15+K16</f>
        <v>24.200000000000003</v>
      </c>
      <c r="L14" s="173"/>
      <c r="M14" s="173"/>
      <c r="N14" s="178">
        <f>N15+N16</f>
        <v>38750</v>
      </c>
      <c r="O14" s="178">
        <f>O15+O16</f>
        <v>38750</v>
      </c>
      <c r="P14" s="178"/>
      <c r="Q14" s="178"/>
      <c r="R14" s="178"/>
      <c r="S14" s="178">
        <f>S15+S16</f>
        <v>4375</v>
      </c>
      <c r="T14" s="178">
        <f>T15+T16</f>
        <v>38750</v>
      </c>
      <c r="U14" s="178">
        <f t="shared" ref="U14:AC14" si="8">U15+U16</f>
        <v>38331</v>
      </c>
      <c r="V14" s="178">
        <f t="shared" si="8"/>
        <v>0</v>
      </c>
      <c r="W14" s="178">
        <f t="shared" si="8"/>
        <v>7750</v>
      </c>
      <c r="X14" s="178">
        <f t="shared" si="8"/>
        <v>18607</v>
      </c>
      <c r="Y14" s="178">
        <f t="shared" si="8"/>
        <v>11974</v>
      </c>
      <c r="Z14" s="178">
        <f t="shared" si="8"/>
        <v>35021.555</v>
      </c>
      <c r="AA14" s="178">
        <f t="shared" si="8"/>
        <v>6847</v>
      </c>
      <c r="AB14" s="178">
        <f t="shared" si="8"/>
        <v>19034.144</v>
      </c>
      <c r="AC14" s="178">
        <f t="shared" si="8"/>
        <v>9140.4110000000001</v>
      </c>
      <c r="AD14" s="178">
        <f t="shared" ref="AD14" si="9">AD15+AD16</f>
        <v>419</v>
      </c>
      <c r="AE14" s="178"/>
      <c r="AM14" s="163"/>
      <c r="AN14" s="163"/>
    </row>
    <row r="15" spans="1:40" ht="143.25" customHeight="1" x14ac:dyDescent="0.25">
      <c r="A15" s="164">
        <v>1</v>
      </c>
      <c r="B15" s="165" t="s">
        <v>129</v>
      </c>
      <c r="C15" s="181" t="s">
        <v>130</v>
      </c>
      <c r="D15" s="166" t="s">
        <v>122</v>
      </c>
      <c r="E15" s="166" t="s">
        <v>24</v>
      </c>
      <c r="F15" s="167" t="s">
        <v>288</v>
      </c>
      <c r="G15" s="164" t="s">
        <v>318</v>
      </c>
      <c r="H15" s="164" t="s">
        <v>318</v>
      </c>
      <c r="I15" s="164" t="s">
        <v>384</v>
      </c>
      <c r="J15" s="168">
        <v>14</v>
      </c>
      <c r="K15" s="168">
        <v>13.9</v>
      </c>
      <c r="L15" s="164" t="s">
        <v>131</v>
      </c>
      <c r="M15" s="164" t="s">
        <v>432</v>
      </c>
      <c r="N15" s="169">
        <f t="shared" si="5"/>
        <v>21700</v>
      </c>
      <c r="O15" s="169">
        <v>21700</v>
      </c>
      <c r="P15" s="169"/>
      <c r="Q15" s="169"/>
      <c r="R15" s="169"/>
      <c r="S15" s="169">
        <v>2450</v>
      </c>
      <c r="T15" s="169">
        <v>21700</v>
      </c>
      <c r="U15" s="169">
        <v>21700</v>
      </c>
      <c r="V15" s="169"/>
      <c r="W15" s="169">
        <v>4340</v>
      </c>
      <c r="X15" s="169">
        <f>U15-W15-Y15</f>
        <v>10408</v>
      </c>
      <c r="Y15" s="169">
        <v>6952</v>
      </c>
      <c r="Z15" s="182">
        <f>18312.982+77.968</f>
        <v>18390.95</v>
      </c>
      <c r="AA15" s="169">
        <v>4340</v>
      </c>
      <c r="AB15" s="182">
        <f>Z15-AA15-AC15</f>
        <v>9932.5390000000007</v>
      </c>
      <c r="AC15" s="182">
        <f>4040.443+77.968</f>
        <v>4118.4110000000001</v>
      </c>
      <c r="AD15" s="169">
        <f>O15-U15</f>
        <v>0</v>
      </c>
      <c r="AE15" s="171" t="s">
        <v>524</v>
      </c>
      <c r="AF15" s="183"/>
      <c r="AM15" s="172"/>
      <c r="AN15" s="172"/>
    </row>
    <row r="16" spans="1:40" ht="102.75" customHeight="1" x14ac:dyDescent="0.25">
      <c r="A16" s="164">
        <v>2</v>
      </c>
      <c r="B16" s="165" t="s">
        <v>132</v>
      </c>
      <c r="C16" s="181" t="s">
        <v>133</v>
      </c>
      <c r="D16" s="166" t="s">
        <v>122</v>
      </c>
      <c r="E16" s="166" t="s">
        <v>24</v>
      </c>
      <c r="F16" s="167" t="s">
        <v>289</v>
      </c>
      <c r="G16" s="164" t="s">
        <v>319</v>
      </c>
      <c r="H16" s="164" t="s">
        <v>319</v>
      </c>
      <c r="I16" s="164" t="s">
        <v>384</v>
      </c>
      <c r="J16" s="168">
        <v>11</v>
      </c>
      <c r="K16" s="168">
        <v>10.3</v>
      </c>
      <c r="L16" s="164" t="s">
        <v>134</v>
      </c>
      <c r="M16" s="164" t="s">
        <v>433</v>
      </c>
      <c r="N16" s="169">
        <f t="shared" si="5"/>
        <v>17050</v>
      </c>
      <c r="O16" s="169">
        <v>17050</v>
      </c>
      <c r="P16" s="169"/>
      <c r="Q16" s="169"/>
      <c r="R16" s="169"/>
      <c r="S16" s="169">
        <v>1925</v>
      </c>
      <c r="T16" s="169">
        <v>17050</v>
      </c>
      <c r="U16" s="169">
        <f>17050-419</f>
        <v>16631</v>
      </c>
      <c r="V16" s="169"/>
      <c r="W16" s="169">
        <v>3410</v>
      </c>
      <c r="X16" s="169">
        <f>U16-W16-Y16</f>
        <v>8199</v>
      </c>
      <c r="Y16" s="169">
        <f>5441-419</f>
        <v>5022</v>
      </c>
      <c r="Z16" s="170">
        <v>16630.605</v>
      </c>
      <c r="AA16" s="169">
        <v>2507</v>
      </c>
      <c r="AB16" s="182">
        <f>Z16-AA16-AC16</f>
        <v>9101.6049999999996</v>
      </c>
      <c r="AC16" s="169">
        <v>5022</v>
      </c>
      <c r="AD16" s="169">
        <f>O16-U16</f>
        <v>419</v>
      </c>
      <c r="AE16" s="171" t="s">
        <v>498</v>
      </c>
      <c r="AM16" s="172"/>
      <c r="AN16" s="172"/>
    </row>
    <row r="17" spans="1:40" s="151" customFormat="1" ht="33" customHeight="1" x14ac:dyDescent="0.25">
      <c r="A17" s="173" t="s">
        <v>270</v>
      </c>
      <c r="B17" s="174" t="s">
        <v>276</v>
      </c>
      <c r="C17" s="184"/>
      <c r="D17" s="175"/>
      <c r="E17" s="175"/>
      <c r="F17" s="176"/>
      <c r="G17" s="173"/>
      <c r="H17" s="173"/>
      <c r="I17" s="173"/>
      <c r="J17" s="177">
        <f>J18</f>
        <v>6</v>
      </c>
      <c r="K17" s="177">
        <f>K18</f>
        <v>6</v>
      </c>
      <c r="L17" s="173"/>
      <c r="M17" s="173"/>
      <c r="N17" s="178">
        <f>N18</f>
        <v>9300</v>
      </c>
      <c r="O17" s="178">
        <f>O18</f>
        <v>9300</v>
      </c>
      <c r="P17" s="178"/>
      <c r="Q17" s="178"/>
      <c r="R17" s="178"/>
      <c r="S17" s="178">
        <f>S18</f>
        <v>0</v>
      </c>
      <c r="T17" s="178">
        <f>T18</f>
        <v>9300</v>
      </c>
      <c r="U17" s="178">
        <f t="shared" ref="U17:AC17" si="10">U18</f>
        <v>8945.5580000000009</v>
      </c>
      <c r="V17" s="178">
        <f t="shared" si="10"/>
        <v>0</v>
      </c>
      <c r="W17" s="178">
        <f t="shared" si="10"/>
        <v>6355.558</v>
      </c>
      <c r="X17" s="178">
        <f t="shared" si="10"/>
        <v>0</v>
      </c>
      <c r="Y17" s="178">
        <f t="shared" si="10"/>
        <v>2590</v>
      </c>
      <c r="Z17" s="178">
        <f t="shared" si="10"/>
        <v>8945.1679999999997</v>
      </c>
      <c r="AA17" s="178">
        <f t="shared" si="10"/>
        <v>6355.558</v>
      </c>
      <c r="AB17" s="178">
        <f t="shared" si="10"/>
        <v>0</v>
      </c>
      <c r="AC17" s="178">
        <f t="shared" si="10"/>
        <v>2589.61</v>
      </c>
      <c r="AD17" s="178">
        <f t="shared" ref="AD17" si="11">AD18</f>
        <v>354.4419999999991</v>
      </c>
      <c r="AE17" s="185"/>
      <c r="AM17" s="163"/>
      <c r="AN17" s="163"/>
    </row>
    <row r="18" spans="1:40" ht="60" customHeight="1" x14ac:dyDescent="0.25">
      <c r="A18" s="164">
        <v>1</v>
      </c>
      <c r="B18" s="165" t="s">
        <v>135</v>
      </c>
      <c r="C18" s="164" t="s">
        <v>136</v>
      </c>
      <c r="D18" s="166" t="s">
        <v>122</v>
      </c>
      <c r="E18" s="166" t="s">
        <v>24</v>
      </c>
      <c r="F18" s="167" t="s">
        <v>290</v>
      </c>
      <c r="G18" s="164" t="s">
        <v>307</v>
      </c>
      <c r="H18" s="164" t="s">
        <v>307</v>
      </c>
      <c r="I18" s="164" t="s">
        <v>384</v>
      </c>
      <c r="J18" s="168">
        <v>6</v>
      </c>
      <c r="K18" s="168">
        <v>6</v>
      </c>
      <c r="L18" s="164" t="s">
        <v>137</v>
      </c>
      <c r="M18" s="164" t="s">
        <v>137</v>
      </c>
      <c r="N18" s="169">
        <f t="shared" si="5"/>
        <v>9300</v>
      </c>
      <c r="O18" s="169">
        <v>9300</v>
      </c>
      <c r="P18" s="169"/>
      <c r="Q18" s="169"/>
      <c r="R18" s="169"/>
      <c r="S18" s="169"/>
      <c r="T18" s="186">
        <v>9300</v>
      </c>
      <c r="U18" s="169">
        <f>SUM(V18:Y18)</f>
        <v>8945.5580000000009</v>
      </c>
      <c r="V18" s="169"/>
      <c r="W18" s="169">
        <f>1860+4418+77.558</f>
        <v>6355.558</v>
      </c>
      <c r="X18" s="169">
        <v>0</v>
      </c>
      <c r="Y18" s="169">
        <f>2944-354</f>
        <v>2590</v>
      </c>
      <c r="Z18" s="169">
        <f>SUM(AA18:AC18)</f>
        <v>8945.1679999999997</v>
      </c>
      <c r="AA18" s="169">
        <f>1860+4495.558</f>
        <v>6355.558</v>
      </c>
      <c r="AB18" s="169">
        <v>0</v>
      </c>
      <c r="AC18" s="169">
        <v>2589.61</v>
      </c>
      <c r="AD18" s="169">
        <f>O18-U18</f>
        <v>354.4419999999991</v>
      </c>
      <c r="AE18" s="171" t="s">
        <v>489</v>
      </c>
      <c r="AM18" s="172"/>
      <c r="AN18" s="172"/>
    </row>
    <row r="19" spans="1:40" s="151" customFormat="1" ht="38.25" customHeight="1" x14ac:dyDescent="0.25">
      <c r="A19" s="173" t="s">
        <v>275</v>
      </c>
      <c r="B19" s="174" t="s">
        <v>395</v>
      </c>
      <c r="C19" s="173"/>
      <c r="D19" s="175"/>
      <c r="E19" s="175"/>
      <c r="F19" s="176"/>
      <c r="G19" s="173"/>
      <c r="H19" s="173"/>
      <c r="I19" s="173"/>
      <c r="J19" s="177">
        <f>J20</f>
        <v>5</v>
      </c>
      <c r="K19" s="177">
        <f>K20</f>
        <v>5.0270000000000001</v>
      </c>
      <c r="L19" s="173"/>
      <c r="M19" s="173"/>
      <c r="N19" s="178">
        <f>N20</f>
        <v>7750</v>
      </c>
      <c r="O19" s="178">
        <f>O20</f>
        <v>7750</v>
      </c>
      <c r="P19" s="178"/>
      <c r="Q19" s="178"/>
      <c r="R19" s="178"/>
      <c r="S19" s="178">
        <f>S20</f>
        <v>0</v>
      </c>
      <c r="T19" s="178">
        <f>T20</f>
        <v>7750</v>
      </c>
      <c r="U19" s="178">
        <f t="shared" ref="U19:AD19" si="12">U20</f>
        <v>7750</v>
      </c>
      <c r="V19" s="178">
        <f t="shared" si="12"/>
        <v>0</v>
      </c>
      <c r="W19" s="178">
        <f t="shared" si="12"/>
        <v>1550</v>
      </c>
      <c r="X19" s="178">
        <f t="shared" si="12"/>
        <v>3681</v>
      </c>
      <c r="Y19" s="178">
        <f t="shared" si="12"/>
        <v>2519</v>
      </c>
      <c r="Z19" s="178">
        <f t="shared" si="12"/>
        <v>4844.3370000000004</v>
      </c>
      <c r="AA19" s="178">
        <f t="shared" si="12"/>
        <v>1550</v>
      </c>
      <c r="AB19" s="178">
        <f t="shared" si="12"/>
        <v>3294.3370000000004</v>
      </c>
      <c r="AC19" s="178">
        <f t="shared" si="12"/>
        <v>0</v>
      </c>
      <c r="AD19" s="178">
        <f t="shared" si="12"/>
        <v>0</v>
      </c>
      <c r="AE19" s="178"/>
      <c r="AM19" s="163"/>
      <c r="AN19" s="163"/>
    </row>
    <row r="20" spans="1:40" ht="78" customHeight="1" x14ac:dyDescent="0.25">
      <c r="A20" s="187">
        <v>1</v>
      </c>
      <c r="B20" s="188" t="s">
        <v>138</v>
      </c>
      <c r="C20" s="187" t="s">
        <v>139</v>
      </c>
      <c r="D20" s="189" t="s">
        <v>122</v>
      </c>
      <c r="E20" s="189" t="s">
        <v>24</v>
      </c>
      <c r="F20" s="190" t="s">
        <v>291</v>
      </c>
      <c r="G20" s="187" t="s">
        <v>316</v>
      </c>
      <c r="H20" s="187" t="s">
        <v>374</v>
      </c>
      <c r="I20" s="187" t="s">
        <v>384</v>
      </c>
      <c r="J20" s="191">
        <v>5</v>
      </c>
      <c r="K20" s="191">
        <v>5.0270000000000001</v>
      </c>
      <c r="L20" s="187" t="s">
        <v>140</v>
      </c>
      <c r="M20" s="187" t="s">
        <v>140</v>
      </c>
      <c r="N20" s="192">
        <f t="shared" si="5"/>
        <v>7750</v>
      </c>
      <c r="O20" s="192">
        <v>7750</v>
      </c>
      <c r="P20" s="192"/>
      <c r="Q20" s="192"/>
      <c r="R20" s="192"/>
      <c r="S20" s="192"/>
      <c r="T20" s="192">
        <v>7750</v>
      </c>
      <c r="U20" s="193">
        <v>7750</v>
      </c>
      <c r="V20" s="192"/>
      <c r="W20" s="192">
        <v>1550</v>
      </c>
      <c r="X20" s="192">
        <f>U20-W20-Y20</f>
        <v>3681</v>
      </c>
      <c r="Y20" s="192">
        <v>2519</v>
      </c>
      <c r="Z20" s="192">
        <v>4844.3370000000004</v>
      </c>
      <c r="AA20" s="192">
        <v>1550</v>
      </c>
      <c r="AB20" s="192">
        <f>Z20-AA20</f>
        <v>3294.3370000000004</v>
      </c>
      <c r="AC20" s="192">
        <v>0</v>
      </c>
      <c r="AD20" s="192">
        <f>O20-U20</f>
        <v>0</v>
      </c>
      <c r="AE20" s="194" t="s">
        <v>525</v>
      </c>
      <c r="AG20" s="195" t="s">
        <v>490</v>
      </c>
      <c r="AM20" s="172"/>
      <c r="AN20" s="172"/>
    </row>
  </sheetData>
  <mergeCells count="35">
    <mergeCell ref="Y5:Y7"/>
    <mergeCell ref="U3:Y4"/>
    <mergeCell ref="AB5:AB7"/>
    <mergeCell ref="AA5:AA7"/>
    <mergeCell ref="S3:S7"/>
    <mergeCell ref="U5:U7"/>
    <mergeCell ref="V5:X7"/>
    <mergeCell ref="A1:AE1"/>
    <mergeCell ref="R2:AE2"/>
    <mergeCell ref="A3:A7"/>
    <mergeCell ref="B3:B7"/>
    <mergeCell ref="C3:C7"/>
    <mergeCell ref="D3:D7"/>
    <mergeCell ref="E3:E7"/>
    <mergeCell ref="F3:F7"/>
    <mergeCell ref="G3:H4"/>
    <mergeCell ref="AD3:AD7"/>
    <mergeCell ref="AE3:AE7"/>
    <mergeCell ref="AC5:AC7"/>
    <mergeCell ref="Z3:AC4"/>
    <mergeCell ref="T3:T7"/>
    <mergeCell ref="Z5:Z7"/>
    <mergeCell ref="G5:G7"/>
    <mergeCell ref="H5:H7"/>
    <mergeCell ref="I3:I7"/>
    <mergeCell ref="J3:J7"/>
    <mergeCell ref="K3:K7"/>
    <mergeCell ref="Q6:R6"/>
    <mergeCell ref="O6:O7"/>
    <mergeCell ref="P6:P7"/>
    <mergeCell ref="O5:R5"/>
    <mergeCell ref="L3:L7"/>
    <mergeCell ref="M3:M7"/>
    <mergeCell ref="N3:R4"/>
    <mergeCell ref="N5:N7"/>
  </mergeCells>
  <pageMargins left="0" right="0" top="0.51181102362204722" bottom="0.51181102362204722" header="0.31496062992125984" footer="0.31496062992125984"/>
  <pageSetup paperSize="9" scale="48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zoomScale="85" zoomScaleNormal="85" workbookViewId="0">
      <selection activeCell="J9" sqref="J9"/>
    </sheetView>
  </sheetViews>
  <sheetFormatPr defaultColWidth="9" defaultRowHeight="15.75" x14ac:dyDescent="0.25"/>
  <cols>
    <col min="1" max="1" width="5.375" style="31" customWidth="1"/>
    <col min="2" max="2" width="35.75" style="37" customWidth="1"/>
    <col min="3" max="3" width="14.125" style="31" customWidth="1"/>
    <col min="4" max="4" width="8.125" style="31" customWidth="1"/>
    <col min="5" max="5" width="8.5" style="31" customWidth="1"/>
    <col min="6" max="6" width="14.5" style="31" customWidth="1"/>
    <col min="7" max="7" width="8.875" style="31" customWidth="1"/>
    <col min="8" max="8" width="7" style="31" customWidth="1"/>
    <col min="9" max="9" width="10.375" style="31" customWidth="1"/>
    <col min="10" max="10" width="8.125" style="31" customWidth="1"/>
    <col min="11" max="11" width="9.25" style="31" customWidth="1"/>
    <col min="12" max="13" width="11" style="31" customWidth="1"/>
    <col min="14" max="14" width="8.875" style="31" customWidth="1"/>
    <col min="15" max="15" width="9.75" style="31" customWidth="1"/>
    <col min="16" max="16" width="9.25" style="31" customWidth="1"/>
    <col min="17" max="17" width="7.75" style="31" customWidth="1"/>
    <col min="18" max="18" width="10.125" style="31" customWidth="1"/>
    <col min="19" max="19" width="9.375" style="31" customWidth="1"/>
    <col min="20" max="20" width="9.5" style="31" hidden="1" customWidth="1"/>
    <col min="21" max="22" width="9" style="31" hidden="1" customWidth="1"/>
    <col min="23" max="23" width="8.5" style="31" customWidth="1"/>
    <col min="24" max="24" width="11.875" style="31" customWidth="1"/>
    <col min="25" max="25" width="11.625" style="31" hidden="1" customWidth="1"/>
    <col min="26" max="26" width="11.125" style="31" hidden="1" customWidth="1"/>
    <col min="27" max="27" width="8.875" style="31" customWidth="1"/>
    <col min="28" max="28" width="7.375" style="31" customWidth="1"/>
    <col min="29" max="29" width="18.625" style="31" customWidth="1"/>
    <col min="30" max="30" width="13.75" style="31" customWidth="1"/>
    <col min="31" max="31" width="19.625" style="31" customWidth="1"/>
    <col min="32" max="32" width="8" style="31" customWidth="1"/>
    <col min="33" max="33" width="10.25" style="31" customWidth="1"/>
    <col min="34" max="34" width="5" style="31" customWidth="1"/>
    <col min="35" max="35" width="11" style="31" customWidth="1"/>
    <col min="36" max="36" width="9" style="31"/>
    <col min="37" max="37" width="11.5" style="31" customWidth="1"/>
    <col min="38" max="16384" width="9" style="31"/>
  </cols>
  <sheetData>
    <row r="1" spans="1:38" s="35" customFormat="1" ht="58.5" customHeight="1" x14ac:dyDescent="0.25">
      <c r="A1" s="259" t="s">
        <v>534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</row>
    <row r="2" spans="1:38" ht="15.75" customHeight="1" x14ac:dyDescent="0.25"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</row>
    <row r="3" spans="1:38" s="35" customFormat="1" ht="22.5" customHeight="1" x14ac:dyDescent="0.25">
      <c r="A3" s="252" t="s">
        <v>3</v>
      </c>
      <c r="B3" s="252" t="s">
        <v>4</v>
      </c>
      <c r="C3" s="252" t="s">
        <v>5</v>
      </c>
      <c r="D3" s="252" t="s">
        <v>6</v>
      </c>
      <c r="E3" s="252" t="s">
        <v>7</v>
      </c>
      <c r="F3" s="252" t="s">
        <v>10</v>
      </c>
      <c r="G3" s="252" t="s">
        <v>8</v>
      </c>
      <c r="H3" s="252"/>
      <c r="I3" s="262" t="s">
        <v>382</v>
      </c>
      <c r="J3" s="262" t="s">
        <v>409</v>
      </c>
      <c r="K3" s="262" t="s">
        <v>410</v>
      </c>
      <c r="L3" s="257" t="s">
        <v>9</v>
      </c>
      <c r="M3" s="262" t="s">
        <v>427</v>
      </c>
      <c r="N3" s="257" t="s">
        <v>11</v>
      </c>
      <c r="O3" s="253"/>
      <c r="P3" s="253"/>
      <c r="Q3" s="252" t="s">
        <v>441</v>
      </c>
      <c r="R3" s="262" t="s">
        <v>378</v>
      </c>
      <c r="S3" s="257" t="s">
        <v>300</v>
      </c>
      <c r="T3" s="253"/>
      <c r="U3" s="253"/>
      <c r="V3" s="253"/>
      <c r="W3" s="254"/>
      <c r="X3" s="257" t="s">
        <v>443</v>
      </c>
      <c r="Y3" s="253"/>
      <c r="Z3" s="253"/>
      <c r="AA3" s="254"/>
      <c r="AB3" s="262" t="s">
        <v>392</v>
      </c>
      <c r="AC3" s="252" t="s">
        <v>333</v>
      </c>
    </row>
    <row r="4" spans="1:38" s="35" customFormat="1" ht="14.25" customHeight="1" x14ac:dyDescent="0.25">
      <c r="A4" s="252"/>
      <c r="B4" s="252"/>
      <c r="C4" s="252"/>
      <c r="D4" s="252"/>
      <c r="E4" s="252"/>
      <c r="F4" s="252"/>
      <c r="G4" s="252"/>
      <c r="H4" s="252"/>
      <c r="I4" s="263"/>
      <c r="J4" s="263"/>
      <c r="K4" s="263"/>
      <c r="L4" s="258"/>
      <c r="M4" s="263"/>
      <c r="N4" s="261"/>
      <c r="O4" s="255"/>
      <c r="P4" s="255"/>
      <c r="Q4" s="252"/>
      <c r="R4" s="263"/>
      <c r="S4" s="261"/>
      <c r="T4" s="255"/>
      <c r="U4" s="255"/>
      <c r="V4" s="255"/>
      <c r="W4" s="256"/>
      <c r="X4" s="261"/>
      <c r="Y4" s="255"/>
      <c r="Z4" s="255"/>
      <c r="AA4" s="256"/>
      <c r="AB4" s="263"/>
      <c r="AC4" s="252"/>
    </row>
    <row r="5" spans="1:38" s="35" customFormat="1" ht="18.75" customHeight="1" x14ac:dyDescent="0.25">
      <c r="A5" s="252"/>
      <c r="B5" s="252"/>
      <c r="C5" s="252"/>
      <c r="D5" s="252"/>
      <c r="E5" s="252"/>
      <c r="F5" s="252"/>
      <c r="G5" s="252" t="s">
        <v>297</v>
      </c>
      <c r="H5" s="252" t="s">
        <v>355</v>
      </c>
      <c r="I5" s="263"/>
      <c r="J5" s="263"/>
      <c r="K5" s="263"/>
      <c r="L5" s="258"/>
      <c r="M5" s="263"/>
      <c r="N5" s="252" t="s">
        <v>12</v>
      </c>
      <c r="O5" s="252" t="s">
        <v>13</v>
      </c>
      <c r="P5" s="267"/>
      <c r="Q5" s="252"/>
      <c r="R5" s="263"/>
      <c r="S5" s="252" t="s">
        <v>12</v>
      </c>
      <c r="T5" s="252" t="s">
        <v>493</v>
      </c>
      <c r="U5" s="252"/>
      <c r="V5" s="252"/>
      <c r="W5" s="254" t="s">
        <v>481</v>
      </c>
      <c r="X5" s="252" t="s">
        <v>501</v>
      </c>
      <c r="Y5" s="252" t="s">
        <v>444</v>
      </c>
      <c r="Z5" s="252" t="s">
        <v>495</v>
      </c>
      <c r="AA5" s="252" t="s">
        <v>482</v>
      </c>
      <c r="AB5" s="263"/>
      <c r="AC5" s="252"/>
    </row>
    <row r="6" spans="1:38" s="35" customFormat="1" ht="15.75" customHeight="1" x14ac:dyDescent="0.25">
      <c r="A6" s="252"/>
      <c r="B6" s="252"/>
      <c r="C6" s="252"/>
      <c r="D6" s="252"/>
      <c r="E6" s="252"/>
      <c r="F6" s="252"/>
      <c r="G6" s="252"/>
      <c r="H6" s="252"/>
      <c r="I6" s="263"/>
      <c r="J6" s="263"/>
      <c r="K6" s="263"/>
      <c r="L6" s="258"/>
      <c r="M6" s="263"/>
      <c r="N6" s="252"/>
      <c r="O6" s="252" t="s">
        <v>14</v>
      </c>
      <c r="P6" s="257" t="s">
        <v>16</v>
      </c>
      <c r="Q6" s="252"/>
      <c r="R6" s="263"/>
      <c r="S6" s="252"/>
      <c r="T6" s="252"/>
      <c r="U6" s="252"/>
      <c r="V6" s="252"/>
      <c r="W6" s="260"/>
      <c r="X6" s="252"/>
      <c r="Y6" s="252"/>
      <c r="Z6" s="252"/>
      <c r="AA6" s="252"/>
      <c r="AB6" s="263"/>
      <c r="AC6" s="252"/>
    </row>
    <row r="7" spans="1:38" s="35" customFormat="1" ht="93.75" customHeight="1" x14ac:dyDescent="0.25">
      <c r="A7" s="252"/>
      <c r="B7" s="252"/>
      <c r="C7" s="252"/>
      <c r="D7" s="252"/>
      <c r="E7" s="252"/>
      <c r="F7" s="252"/>
      <c r="G7" s="252"/>
      <c r="H7" s="252"/>
      <c r="I7" s="264"/>
      <c r="J7" s="264"/>
      <c r="K7" s="264"/>
      <c r="L7" s="261"/>
      <c r="M7" s="264"/>
      <c r="N7" s="252"/>
      <c r="O7" s="252"/>
      <c r="P7" s="261"/>
      <c r="Q7" s="252"/>
      <c r="R7" s="264"/>
      <c r="S7" s="252"/>
      <c r="T7" s="252"/>
      <c r="U7" s="252"/>
      <c r="V7" s="252"/>
      <c r="W7" s="256"/>
      <c r="X7" s="252"/>
      <c r="Y7" s="252"/>
      <c r="Z7" s="252"/>
      <c r="AA7" s="252"/>
      <c r="AB7" s="264"/>
      <c r="AC7" s="252"/>
    </row>
    <row r="8" spans="1:38" s="35" customFormat="1" ht="29.25" customHeight="1" x14ac:dyDescent="0.25">
      <c r="A8" s="42"/>
      <c r="B8" s="42" t="s">
        <v>19</v>
      </c>
      <c r="C8" s="42"/>
      <c r="D8" s="42"/>
      <c r="E8" s="42"/>
      <c r="F8" s="42"/>
      <c r="G8" s="42"/>
      <c r="H8" s="42"/>
      <c r="I8" s="42"/>
      <c r="J8" s="43">
        <f>J9+J23</f>
        <v>80</v>
      </c>
      <c r="K8" s="83">
        <f>K9+K23+K52</f>
        <v>117.14800000000001</v>
      </c>
      <c r="L8" s="42"/>
      <c r="M8" s="42"/>
      <c r="N8" s="44">
        <f>N9+N23</f>
        <v>131850</v>
      </c>
      <c r="O8" s="44">
        <f>O9+O23</f>
        <v>91850</v>
      </c>
      <c r="P8" s="44">
        <f>P9+P23</f>
        <v>40000</v>
      </c>
      <c r="Q8" s="44">
        <f t="shared" ref="Q8:AB8" si="0">Q9+Q23</f>
        <v>250</v>
      </c>
      <c r="R8" s="44">
        <f t="shared" si="0"/>
        <v>48050</v>
      </c>
      <c r="S8" s="44">
        <f t="shared" si="0"/>
        <v>48029</v>
      </c>
      <c r="T8" s="44">
        <f t="shared" ref="T8:AA8" si="1">T9+T23</f>
        <v>5344</v>
      </c>
      <c r="U8" s="44">
        <f t="shared" si="1"/>
        <v>22170</v>
      </c>
      <c r="V8" s="44">
        <f t="shared" si="1"/>
        <v>15171</v>
      </c>
      <c r="W8" s="44">
        <f t="shared" si="1"/>
        <v>1841.0830000000001</v>
      </c>
      <c r="X8" s="44">
        <f t="shared" si="1"/>
        <v>46714.688999999998</v>
      </c>
      <c r="Y8" s="44">
        <f t="shared" si="1"/>
        <v>26439.734</v>
      </c>
      <c r="Z8" s="44">
        <f t="shared" si="1"/>
        <v>17819.499</v>
      </c>
      <c r="AA8" s="44">
        <f t="shared" si="1"/>
        <v>1840.3029999999999</v>
      </c>
      <c r="AB8" s="44">
        <f t="shared" si="0"/>
        <v>0</v>
      </c>
      <c r="AC8" s="46"/>
    </row>
    <row r="9" spans="1:38" s="35" customFormat="1" ht="38.25" customHeight="1" x14ac:dyDescent="0.25">
      <c r="A9" s="47" t="s">
        <v>20</v>
      </c>
      <c r="B9" s="59" t="s">
        <v>405</v>
      </c>
      <c r="C9" s="47"/>
      <c r="D9" s="47"/>
      <c r="E9" s="47"/>
      <c r="F9" s="47"/>
      <c r="G9" s="47"/>
      <c r="H9" s="47"/>
      <c r="I9" s="47"/>
      <c r="J9" s="49">
        <f>J10+J12+J15+J17+J19+J21</f>
        <v>24</v>
      </c>
      <c r="K9" s="85">
        <f>K10+K12+K15+K17+K19+K21</f>
        <v>30.245000000000001</v>
      </c>
      <c r="L9" s="47"/>
      <c r="M9" s="47"/>
      <c r="N9" s="39">
        <f>N10+N12+N15+N17+N19+N21</f>
        <v>37200</v>
      </c>
      <c r="O9" s="39">
        <f>O10+O12+O15+O17+O19+O21</f>
        <v>37200</v>
      </c>
      <c r="P9" s="39"/>
      <c r="Q9" s="39">
        <f>Q10+Q12+Q15+Q17+Q19+Q21</f>
        <v>250</v>
      </c>
      <c r="R9" s="39">
        <f t="shared" ref="R9:AB9" si="2">R10+R12+R15+R17+R19+R21</f>
        <v>37200</v>
      </c>
      <c r="S9" s="39">
        <f t="shared" si="2"/>
        <v>37200</v>
      </c>
      <c r="T9" s="39">
        <f t="shared" ref="T9:AA9" si="3">T10+T12+T15+T17+T19+T21</f>
        <v>4424</v>
      </c>
      <c r="U9" s="39">
        <f t="shared" si="3"/>
        <v>17835</v>
      </c>
      <c r="V9" s="39">
        <f t="shared" si="3"/>
        <v>11206</v>
      </c>
      <c r="W9" s="39">
        <f t="shared" si="3"/>
        <v>0</v>
      </c>
      <c r="X9" s="39">
        <f t="shared" si="3"/>
        <v>35246.864999999998</v>
      </c>
      <c r="Y9" s="39">
        <f t="shared" si="3"/>
        <v>20975.734</v>
      </c>
      <c r="Z9" s="39">
        <f t="shared" si="3"/>
        <v>14271.130999999999</v>
      </c>
      <c r="AA9" s="39">
        <f t="shared" si="3"/>
        <v>0</v>
      </c>
      <c r="AB9" s="39">
        <f t="shared" si="2"/>
        <v>0</v>
      </c>
      <c r="AC9" s="39"/>
      <c r="AK9" s="33"/>
      <c r="AL9" s="33"/>
    </row>
    <row r="10" spans="1:38" s="35" customFormat="1" ht="27.75" customHeight="1" x14ac:dyDescent="0.25">
      <c r="A10" s="47">
        <v>1</v>
      </c>
      <c r="B10" s="48" t="s">
        <v>359</v>
      </c>
      <c r="C10" s="47"/>
      <c r="D10" s="47"/>
      <c r="E10" s="47"/>
      <c r="F10" s="47"/>
      <c r="G10" s="47"/>
      <c r="H10" s="47"/>
      <c r="I10" s="47"/>
      <c r="J10" s="49">
        <f>J11</f>
        <v>2.5</v>
      </c>
      <c r="K10" s="49">
        <f>K11</f>
        <v>3</v>
      </c>
      <c r="L10" s="47"/>
      <c r="M10" s="47"/>
      <c r="N10" s="39">
        <f>N11</f>
        <v>3875</v>
      </c>
      <c r="O10" s="39">
        <f>O11</f>
        <v>3875</v>
      </c>
      <c r="P10" s="39"/>
      <c r="Q10" s="39"/>
      <c r="R10" s="39">
        <f t="shared" ref="R10:AB10" si="4">R11</f>
        <v>3875</v>
      </c>
      <c r="S10" s="39">
        <f t="shared" si="4"/>
        <v>3875</v>
      </c>
      <c r="T10" s="39">
        <f t="shared" si="4"/>
        <v>461</v>
      </c>
      <c r="U10" s="39">
        <f t="shared" si="4"/>
        <v>1858</v>
      </c>
      <c r="V10" s="39">
        <f t="shared" si="4"/>
        <v>1556</v>
      </c>
      <c r="W10" s="39">
        <f t="shared" si="4"/>
        <v>0</v>
      </c>
      <c r="X10" s="39">
        <f t="shared" si="4"/>
        <v>3831.0160000000001</v>
      </c>
      <c r="Y10" s="39">
        <f t="shared" si="4"/>
        <v>2319</v>
      </c>
      <c r="Z10" s="39">
        <f t="shared" si="4"/>
        <v>1512.0160000000001</v>
      </c>
      <c r="AA10" s="39">
        <f t="shared" si="4"/>
        <v>0</v>
      </c>
      <c r="AB10" s="39">
        <f t="shared" si="4"/>
        <v>0</v>
      </c>
      <c r="AC10" s="39"/>
      <c r="AK10" s="33"/>
      <c r="AL10" s="33"/>
    </row>
    <row r="11" spans="1:38" ht="69.75" customHeight="1" x14ac:dyDescent="0.25">
      <c r="A11" s="38"/>
      <c r="B11" s="50" t="s">
        <v>141</v>
      </c>
      <c r="C11" s="38" t="s">
        <v>142</v>
      </c>
      <c r="D11" s="52" t="s">
        <v>23</v>
      </c>
      <c r="E11" s="52" t="s">
        <v>24</v>
      </c>
      <c r="F11" s="38" t="s">
        <v>144</v>
      </c>
      <c r="G11" s="38" t="s">
        <v>310</v>
      </c>
      <c r="H11" s="38" t="s">
        <v>312</v>
      </c>
      <c r="I11" s="38" t="s">
        <v>384</v>
      </c>
      <c r="J11" s="57">
        <v>2.5</v>
      </c>
      <c r="K11" s="57">
        <v>3</v>
      </c>
      <c r="L11" s="38" t="s">
        <v>143</v>
      </c>
      <c r="M11" s="38" t="s">
        <v>143</v>
      </c>
      <c r="N11" s="40">
        <f>O11+P11</f>
        <v>3875</v>
      </c>
      <c r="O11" s="40">
        <v>3875</v>
      </c>
      <c r="P11" s="40"/>
      <c r="Q11" s="40"/>
      <c r="R11" s="40">
        <v>3875</v>
      </c>
      <c r="S11" s="40">
        <v>3875</v>
      </c>
      <c r="T11" s="40">
        <v>461</v>
      </c>
      <c r="U11" s="40">
        <v>1858</v>
      </c>
      <c r="V11" s="40">
        <v>1556</v>
      </c>
      <c r="W11" s="40"/>
      <c r="X11" s="40">
        <v>3831.0160000000001</v>
      </c>
      <c r="Y11" s="40">
        <v>2319</v>
      </c>
      <c r="Z11" s="40">
        <f>X11-Y11</f>
        <v>1512.0160000000001</v>
      </c>
      <c r="AA11" s="40"/>
      <c r="AB11" s="40">
        <v>0</v>
      </c>
      <c r="AC11" s="55" t="s">
        <v>504</v>
      </c>
      <c r="AK11" s="32"/>
      <c r="AL11" s="32"/>
    </row>
    <row r="12" spans="1:38" s="35" customFormat="1" ht="34.5" customHeight="1" x14ac:dyDescent="0.25">
      <c r="A12" s="47">
        <v>2</v>
      </c>
      <c r="B12" s="59" t="s">
        <v>360</v>
      </c>
      <c r="C12" s="47"/>
      <c r="D12" s="61"/>
      <c r="E12" s="61"/>
      <c r="F12" s="47"/>
      <c r="G12" s="47"/>
      <c r="H12" s="47"/>
      <c r="I12" s="47"/>
      <c r="J12" s="49">
        <f>J13+J14</f>
        <v>9.5</v>
      </c>
      <c r="K12" s="49">
        <f>K13+K14</f>
        <v>15.3</v>
      </c>
      <c r="L12" s="49"/>
      <c r="M12" s="47"/>
      <c r="N12" s="39">
        <f>N13+N14</f>
        <v>14725</v>
      </c>
      <c r="O12" s="39">
        <f>O13+O14</f>
        <v>14725</v>
      </c>
      <c r="P12" s="39"/>
      <c r="Q12" s="39"/>
      <c r="R12" s="39">
        <f t="shared" ref="R12:AB12" si="5">R13+R14</f>
        <v>14725</v>
      </c>
      <c r="S12" s="39">
        <f t="shared" si="5"/>
        <v>14725</v>
      </c>
      <c r="T12" s="39">
        <f t="shared" si="5"/>
        <v>1751</v>
      </c>
      <c r="U12" s="39">
        <f t="shared" si="5"/>
        <v>7060</v>
      </c>
      <c r="V12" s="39">
        <f t="shared" si="5"/>
        <v>5914</v>
      </c>
      <c r="W12" s="39">
        <f t="shared" si="5"/>
        <v>0</v>
      </c>
      <c r="X12" s="39">
        <f t="shared" si="5"/>
        <v>13755.435000000001</v>
      </c>
      <c r="Y12" s="39">
        <f t="shared" si="5"/>
        <v>5727</v>
      </c>
      <c r="Z12" s="39">
        <f t="shared" si="5"/>
        <v>8028.4350000000004</v>
      </c>
      <c r="AA12" s="39">
        <f t="shared" si="5"/>
        <v>0</v>
      </c>
      <c r="AB12" s="39">
        <f t="shared" si="5"/>
        <v>0</v>
      </c>
      <c r="AC12" s="39"/>
      <c r="AK12" s="33"/>
      <c r="AL12" s="33"/>
    </row>
    <row r="13" spans="1:38" ht="60.75" customHeight="1" x14ac:dyDescent="0.25">
      <c r="A13" s="38"/>
      <c r="B13" s="87" t="s">
        <v>145</v>
      </c>
      <c r="C13" s="38" t="s">
        <v>146</v>
      </c>
      <c r="D13" s="52" t="s">
        <v>23</v>
      </c>
      <c r="E13" s="52" t="s">
        <v>24</v>
      </c>
      <c r="F13" s="38" t="s">
        <v>148</v>
      </c>
      <c r="G13" s="38" t="s">
        <v>307</v>
      </c>
      <c r="H13" s="38" t="s">
        <v>344</v>
      </c>
      <c r="I13" s="38" t="s">
        <v>384</v>
      </c>
      <c r="J13" s="57">
        <v>6</v>
      </c>
      <c r="K13" s="57">
        <v>10.8</v>
      </c>
      <c r="L13" s="296" t="s">
        <v>147</v>
      </c>
      <c r="M13" s="38" t="s">
        <v>437</v>
      </c>
      <c r="N13" s="40">
        <f>O13+P13</f>
        <v>9300</v>
      </c>
      <c r="O13" s="40">
        <v>9300</v>
      </c>
      <c r="P13" s="40"/>
      <c r="Q13" s="40"/>
      <c r="R13" s="40">
        <v>9300</v>
      </c>
      <c r="S13" s="40">
        <v>9300</v>
      </c>
      <c r="T13" s="40">
        <v>1106</v>
      </c>
      <c r="U13" s="40">
        <v>4459</v>
      </c>
      <c r="V13" s="40">
        <f>S13-T13-U13</f>
        <v>3735</v>
      </c>
      <c r="W13" s="40"/>
      <c r="X13" s="27">
        <v>9181.2610000000004</v>
      </c>
      <c r="Y13" s="40">
        <v>3866</v>
      </c>
      <c r="Z13" s="40">
        <f>X13-Y13</f>
        <v>5315.2610000000004</v>
      </c>
      <c r="AA13" s="40"/>
      <c r="AB13" s="40">
        <f>O13-S13</f>
        <v>0</v>
      </c>
      <c r="AC13" s="55" t="s">
        <v>485</v>
      </c>
      <c r="AD13" s="38"/>
      <c r="AK13" s="32"/>
      <c r="AL13" s="32"/>
    </row>
    <row r="14" spans="1:38" ht="60.75" customHeight="1" x14ac:dyDescent="0.25">
      <c r="A14" s="38"/>
      <c r="B14" s="87" t="s">
        <v>149</v>
      </c>
      <c r="C14" s="38" t="s">
        <v>150</v>
      </c>
      <c r="D14" s="52" t="s">
        <v>23</v>
      </c>
      <c r="E14" s="52" t="s">
        <v>24</v>
      </c>
      <c r="F14" s="38" t="s">
        <v>151</v>
      </c>
      <c r="G14" s="38" t="s">
        <v>320</v>
      </c>
      <c r="H14" s="38" t="s">
        <v>345</v>
      </c>
      <c r="I14" s="38" t="s">
        <v>384</v>
      </c>
      <c r="J14" s="57">
        <v>3.5</v>
      </c>
      <c r="K14" s="57">
        <v>4.5</v>
      </c>
      <c r="L14" s="296"/>
      <c r="M14" s="38" t="s">
        <v>438</v>
      </c>
      <c r="N14" s="40">
        <f>O14+P14</f>
        <v>5425</v>
      </c>
      <c r="O14" s="40">
        <v>5425</v>
      </c>
      <c r="P14" s="40"/>
      <c r="Q14" s="40"/>
      <c r="R14" s="40">
        <v>5425</v>
      </c>
      <c r="S14" s="40">
        <v>5425</v>
      </c>
      <c r="T14" s="40">
        <v>645</v>
      </c>
      <c r="U14" s="40">
        <v>2601</v>
      </c>
      <c r="V14" s="40">
        <f>S14-T14-U14</f>
        <v>2179</v>
      </c>
      <c r="W14" s="40"/>
      <c r="X14" s="27">
        <v>4574.174</v>
      </c>
      <c r="Y14" s="40">
        <v>1861</v>
      </c>
      <c r="Z14" s="40">
        <f>X14-Y14</f>
        <v>2713.174</v>
      </c>
      <c r="AA14" s="40"/>
      <c r="AB14" s="40">
        <f>O14-S14</f>
        <v>0</v>
      </c>
      <c r="AC14" s="55" t="s">
        <v>485</v>
      </c>
      <c r="AD14" s="38"/>
      <c r="AK14" s="32"/>
      <c r="AL14" s="32"/>
    </row>
    <row r="15" spans="1:38" s="35" customFormat="1" ht="35.25" customHeight="1" x14ac:dyDescent="0.25">
      <c r="A15" s="47">
        <v>3</v>
      </c>
      <c r="B15" s="88" t="s">
        <v>364</v>
      </c>
      <c r="C15" s="47"/>
      <c r="D15" s="61"/>
      <c r="E15" s="61"/>
      <c r="F15" s="47"/>
      <c r="G15" s="47"/>
      <c r="H15" s="47"/>
      <c r="I15" s="47"/>
      <c r="J15" s="49">
        <f>J16</f>
        <v>1</v>
      </c>
      <c r="K15" s="49">
        <f>K16</f>
        <v>1</v>
      </c>
      <c r="L15" s="47"/>
      <c r="M15" s="47"/>
      <c r="N15" s="39">
        <f>N16</f>
        <v>1550</v>
      </c>
      <c r="O15" s="39">
        <f>O16</f>
        <v>1550</v>
      </c>
      <c r="P15" s="39"/>
      <c r="Q15" s="39">
        <f>Q16</f>
        <v>250</v>
      </c>
      <c r="R15" s="39">
        <f t="shared" ref="R15:AB15" si="6">R16</f>
        <v>1550</v>
      </c>
      <c r="S15" s="39">
        <f t="shared" si="6"/>
        <v>1550</v>
      </c>
      <c r="T15" s="39">
        <f t="shared" si="6"/>
        <v>184</v>
      </c>
      <c r="U15" s="39">
        <f t="shared" si="6"/>
        <v>743</v>
      </c>
      <c r="V15" s="39">
        <f t="shared" si="6"/>
        <v>623</v>
      </c>
      <c r="W15" s="39">
        <f t="shared" si="6"/>
        <v>0</v>
      </c>
      <c r="X15" s="39">
        <f t="shared" si="6"/>
        <v>1404.21</v>
      </c>
      <c r="Y15" s="39">
        <f t="shared" si="6"/>
        <v>184</v>
      </c>
      <c r="Z15" s="39">
        <f t="shared" si="6"/>
        <v>1220.21</v>
      </c>
      <c r="AA15" s="39">
        <f t="shared" si="6"/>
        <v>0</v>
      </c>
      <c r="AB15" s="39">
        <f t="shared" si="6"/>
        <v>0</v>
      </c>
      <c r="AC15" s="39"/>
      <c r="AK15" s="33"/>
      <c r="AL15" s="33"/>
    </row>
    <row r="16" spans="1:38" ht="89.25" customHeight="1" x14ac:dyDescent="0.25">
      <c r="A16" s="38"/>
      <c r="B16" s="87" t="s">
        <v>152</v>
      </c>
      <c r="C16" s="38" t="s">
        <v>153</v>
      </c>
      <c r="D16" s="52" t="s">
        <v>23</v>
      </c>
      <c r="E16" s="52" t="s">
        <v>24</v>
      </c>
      <c r="F16" s="38" t="s">
        <v>154</v>
      </c>
      <c r="G16" s="38" t="s">
        <v>321</v>
      </c>
      <c r="H16" s="38" t="s">
        <v>321</v>
      </c>
      <c r="I16" s="38" t="s">
        <v>384</v>
      </c>
      <c r="J16" s="57">
        <v>1</v>
      </c>
      <c r="K16" s="57">
        <v>1</v>
      </c>
      <c r="L16" s="38" t="s">
        <v>442</v>
      </c>
      <c r="M16" s="38" t="s">
        <v>440</v>
      </c>
      <c r="N16" s="40">
        <f>O16+P16</f>
        <v>1550</v>
      </c>
      <c r="O16" s="40">
        <v>1550</v>
      </c>
      <c r="P16" s="40"/>
      <c r="Q16" s="40">
        <v>250</v>
      </c>
      <c r="R16" s="40">
        <v>1550</v>
      </c>
      <c r="S16" s="40">
        <v>1550</v>
      </c>
      <c r="T16" s="40">
        <v>184</v>
      </c>
      <c r="U16" s="40">
        <v>743</v>
      </c>
      <c r="V16" s="40">
        <f>S16-T16-U16</f>
        <v>623</v>
      </c>
      <c r="W16" s="40"/>
      <c r="X16" s="30">
        <v>1404.21</v>
      </c>
      <c r="Y16" s="40">
        <v>184</v>
      </c>
      <c r="Z16" s="40">
        <f>X16-Y16</f>
        <v>1220.21</v>
      </c>
      <c r="AA16" s="40"/>
      <c r="AB16" s="40">
        <f>O16-S16</f>
        <v>0</v>
      </c>
      <c r="AC16" s="89" t="s">
        <v>491</v>
      </c>
      <c r="AD16" s="38"/>
      <c r="AK16" s="32"/>
      <c r="AL16" s="32"/>
    </row>
    <row r="17" spans="1:38" s="35" customFormat="1" ht="31.5" customHeight="1" x14ac:dyDescent="0.25">
      <c r="A17" s="47">
        <v>4</v>
      </c>
      <c r="B17" s="88" t="s">
        <v>365</v>
      </c>
      <c r="C17" s="47"/>
      <c r="D17" s="61"/>
      <c r="E17" s="61"/>
      <c r="F17" s="47"/>
      <c r="G17" s="47"/>
      <c r="H17" s="47"/>
      <c r="I17" s="47"/>
      <c r="J17" s="49">
        <f>J18</f>
        <v>6</v>
      </c>
      <c r="K17" s="49">
        <f>K18</f>
        <v>6</v>
      </c>
      <c r="L17" s="49"/>
      <c r="M17" s="47"/>
      <c r="N17" s="39">
        <f>N18</f>
        <v>9300</v>
      </c>
      <c r="O17" s="39">
        <f>O18</f>
        <v>9300</v>
      </c>
      <c r="P17" s="39"/>
      <c r="Q17" s="39"/>
      <c r="R17" s="39">
        <f t="shared" ref="R17:AB17" si="7">R18</f>
        <v>9300</v>
      </c>
      <c r="S17" s="39">
        <f t="shared" si="7"/>
        <v>9300</v>
      </c>
      <c r="T17" s="39">
        <f t="shared" si="7"/>
        <v>1106</v>
      </c>
      <c r="U17" s="39">
        <f t="shared" si="7"/>
        <v>4459</v>
      </c>
      <c r="V17" s="39">
        <f t="shared" si="7"/>
        <v>0</v>
      </c>
      <c r="W17" s="39">
        <f t="shared" si="7"/>
        <v>0</v>
      </c>
      <c r="X17" s="39">
        <f t="shared" si="7"/>
        <v>9123.7340000000004</v>
      </c>
      <c r="Y17" s="39">
        <f t="shared" si="7"/>
        <v>9123.7340000000004</v>
      </c>
      <c r="Z17" s="39">
        <f t="shared" si="7"/>
        <v>0</v>
      </c>
      <c r="AA17" s="39">
        <f t="shared" si="7"/>
        <v>0</v>
      </c>
      <c r="AB17" s="39">
        <f t="shared" si="7"/>
        <v>0</v>
      </c>
      <c r="AC17" s="84"/>
      <c r="AK17" s="33"/>
      <c r="AL17" s="33"/>
    </row>
    <row r="18" spans="1:38" ht="69.75" customHeight="1" x14ac:dyDescent="0.25">
      <c r="A18" s="38"/>
      <c r="B18" s="90" t="s">
        <v>155</v>
      </c>
      <c r="C18" s="38" t="s">
        <v>156</v>
      </c>
      <c r="D18" s="52" t="s">
        <v>23</v>
      </c>
      <c r="E18" s="52" t="s">
        <v>24</v>
      </c>
      <c r="F18" s="38" t="s">
        <v>158</v>
      </c>
      <c r="G18" s="38" t="s">
        <v>307</v>
      </c>
      <c r="H18" s="38" t="s">
        <v>307</v>
      </c>
      <c r="I18" s="38" t="s">
        <v>384</v>
      </c>
      <c r="J18" s="57">
        <v>6</v>
      </c>
      <c r="K18" s="57">
        <v>6</v>
      </c>
      <c r="L18" s="38" t="s">
        <v>157</v>
      </c>
      <c r="M18" s="38" t="s">
        <v>157</v>
      </c>
      <c r="N18" s="40">
        <f>O18+P18</f>
        <v>9300</v>
      </c>
      <c r="O18" s="40">
        <v>9300</v>
      </c>
      <c r="P18" s="40"/>
      <c r="Q18" s="40"/>
      <c r="R18" s="40">
        <v>9300</v>
      </c>
      <c r="S18" s="40">
        <f>R18</f>
        <v>9300</v>
      </c>
      <c r="T18" s="40">
        <v>1106</v>
      </c>
      <c r="U18" s="40">
        <v>4459</v>
      </c>
      <c r="V18" s="40"/>
      <c r="W18" s="40">
        <v>0</v>
      </c>
      <c r="X18" s="40">
        <v>9123.7340000000004</v>
      </c>
      <c r="Y18" s="40">
        <f>5565+3558.734</f>
        <v>9123.7340000000004</v>
      </c>
      <c r="Z18" s="40">
        <v>0</v>
      </c>
      <c r="AA18" s="40">
        <v>0</v>
      </c>
      <c r="AB18" s="40">
        <v>0</v>
      </c>
      <c r="AC18" s="55" t="s">
        <v>485</v>
      </c>
      <c r="AD18" s="38"/>
      <c r="AK18" s="32"/>
      <c r="AL18" s="32"/>
    </row>
    <row r="19" spans="1:38" s="35" customFormat="1" ht="36.75" customHeight="1" x14ac:dyDescent="0.25">
      <c r="A19" s="47">
        <v>5</v>
      </c>
      <c r="B19" s="91" t="s">
        <v>366</v>
      </c>
      <c r="C19" s="47"/>
      <c r="D19" s="61"/>
      <c r="E19" s="61"/>
      <c r="F19" s="47"/>
      <c r="G19" s="47"/>
      <c r="H19" s="47"/>
      <c r="I19" s="47"/>
      <c r="J19" s="49">
        <f>J20</f>
        <v>2</v>
      </c>
      <c r="K19" s="85">
        <f>K20</f>
        <v>1.9450000000000001</v>
      </c>
      <c r="L19" s="85"/>
      <c r="M19" s="47"/>
      <c r="N19" s="39">
        <f>N20</f>
        <v>3100</v>
      </c>
      <c r="O19" s="39">
        <f>O20</f>
        <v>3100</v>
      </c>
      <c r="P19" s="39"/>
      <c r="Q19" s="39"/>
      <c r="R19" s="39">
        <f>R20</f>
        <v>3100</v>
      </c>
      <c r="S19" s="39">
        <f t="shared" ref="S19:AB19" si="8">S20</f>
        <v>3100</v>
      </c>
      <c r="T19" s="39">
        <f t="shared" si="8"/>
        <v>369</v>
      </c>
      <c r="U19" s="39">
        <f t="shared" si="8"/>
        <v>1486</v>
      </c>
      <c r="V19" s="39">
        <f t="shared" si="8"/>
        <v>1245</v>
      </c>
      <c r="W19" s="39">
        <f t="shared" si="8"/>
        <v>0</v>
      </c>
      <c r="X19" s="39">
        <f t="shared" si="8"/>
        <v>2578.1909999999998</v>
      </c>
      <c r="Y19" s="39">
        <f t="shared" si="8"/>
        <v>1855</v>
      </c>
      <c r="Z19" s="39">
        <f t="shared" si="8"/>
        <v>723.1909999999998</v>
      </c>
      <c r="AA19" s="39">
        <f t="shared" si="8"/>
        <v>0</v>
      </c>
      <c r="AB19" s="39">
        <f t="shared" si="8"/>
        <v>0</v>
      </c>
      <c r="AC19" s="39"/>
      <c r="AK19" s="33"/>
      <c r="AL19" s="33"/>
    </row>
    <row r="20" spans="1:38" ht="70.5" customHeight="1" x14ac:dyDescent="0.25">
      <c r="A20" s="38"/>
      <c r="B20" s="92" t="s">
        <v>159</v>
      </c>
      <c r="C20" s="38" t="s">
        <v>160</v>
      </c>
      <c r="D20" s="52" t="s">
        <v>23</v>
      </c>
      <c r="E20" s="52" t="s">
        <v>24</v>
      </c>
      <c r="F20" s="38" t="s">
        <v>161</v>
      </c>
      <c r="G20" s="38" t="s">
        <v>322</v>
      </c>
      <c r="H20" s="38" t="s">
        <v>375</v>
      </c>
      <c r="I20" s="38" t="s">
        <v>384</v>
      </c>
      <c r="J20" s="57">
        <v>2</v>
      </c>
      <c r="K20" s="93">
        <v>1.9450000000000001</v>
      </c>
      <c r="L20" s="38" t="s">
        <v>468</v>
      </c>
      <c r="M20" s="38" t="s">
        <v>468</v>
      </c>
      <c r="N20" s="40">
        <f>O20+P20</f>
        <v>3100</v>
      </c>
      <c r="O20" s="40">
        <v>3100</v>
      </c>
      <c r="P20" s="40"/>
      <c r="Q20" s="40"/>
      <c r="R20" s="40">
        <v>3100</v>
      </c>
      <c r="S20" s="40">
        <v>3100</v>
      </c>
      <c r="T20" s="40">
        <v>369</v>
      </c>
      <c r="U20" s="40">
        <v>1486</v>
      </c>
      <c r="V20" s="40">
        <v>1245</v>
      </c>
      <c r="W20" s="40"/>
      <c r="X20" s="40">
        <v>2578.1909999999998</v>
      </c>
      <c r="Y20" s="40">
        <v>1855</v>
      </c>
      <c r="Z20" s="40">
        <f>X20-Y20</f>
        <v>723.1909999999998</v>
      </c>
      <c r="AA20" s="40"/>
      <c r="AB20" s="40">
        <f>O20-S20</f>
        <v>0</v>
      </c>
      <c r="AC20" s="55" t="s">
        <v>504</v>
      </c>
      <c r="AK20" s="32"/>
      <c r="AL20" s="32"/>
    </row>
    <row r="21" spans="1:38" s="35" customFormat="1" ht="39.75" customHeight="1" x14ac:dyDescent="0.25">
      <c r="A21" s="47">
        <v>6</v>
      </c>
      <c r="B21" s="94" t="s">
        <v>367</v>
      </c>
      <c r="C21" s="47"/>
      <c r="D21" s="61"/>
      <c r="E21" s="61"/>
      <c r="F21" s="47"/>
      <c r="G21" s="47"/>
      <c r="H21" s="47"/>
      <c r="I21" s="47"/>
      <c r="J21" s="49">
        <f>J22</f>
        <v>3</v>
      </c>
      <c r="K21" s="49">
        <f>K22</f>
        <v>3</v>
      </c>
      <c r="L21" s="47"/>
      <c r="M21" s="47"/>
      <c r="N21" s="39">
        <f>N22</f>
        <v>4650</v>
      </c>
      <c r="O21" s="39">
        <f>O22</f>
        <v>4650</v>
      </c>
      <c r="P21" s="39"/>
      <c r="Q21" s="39"/>
      <c r="R21" s="39">
        <f t="shared" ref="R21:AB21" si="9">R22</f>
        <v>4650</v>
      </c>
      <c r="S21" s="39">
        <f t="shared" si="9"/>
        <v>4650</v>
      </c>
      <c r="T21" s="39">
        <f t="shared" si="9"/>
        <v>553</v>
      </c>
      <c r="U21" s="39">
        <f t="shared" si="9"/>
        <v>2229</v>
      </c>
      <c r="V21" s="39">
        <f t="shared" si="9"/>
        <v>1868</v>
      </c>
      <c r="W21" s="39">
        <f t="shared" si="9"/>
        <v>0</v>
      </c>
      <c r="X21" s="39">
        <f t="shared" si="9"/>
        <v>4554.2790000000005</v>
      </c>
      <c r="Y21" s="39">
        <f t="shared" si="9"/>
        <v>1767</v>
      </c>
      <c r="Z21" s="39">
        <f t="shared" si="9"/>
        <v>2787.2790000000005</v>
      </c>
      <c r="AA21" s="39">
        <f t="shared" si="9"/>
        <v>0</v>
      </c>
      <c r="AB21" s="39">
        <f t="shared" si="9"/>
        <v>0</v>
      </c>
      <c r="AC21" s="39"/>
      <c r="AK21" s="33"/>
      <c r="AL21" s="33"/>
    </row>
    <row r="22" spans="1:38" ht="72" customHeight="1" x14ac:dyDescent="0.25">
      <c r="A22" s="38"/>
      <c r="B22" s="95" t="s">
        <v>162</v>
      </c>
      <c r="C22" s="38" t="s">
        <v>163</v>
      </c>
      <c r="D22" s="52" t="s">
        <v>23</v>
      </c>
      <c r="E22" s="52" t="s">
        <v>24</v>
      </c>
      <c r="F22" s="38" t="s">
        <v>165</v>
      </c>
      <c r="G22" s="38" t="s">
        <v>312</v>
      </c>
      <c r="H22" s="38" t="s">
        <v>312</v>
      </c>
      <c r="I22" s="38" t="s">
        <v>384</v>
      </c>
      <c r="J22" s="57">
        <v>3</v>
      </c>
      <c r="K22" s="57">
        <v>3</v>
      </c>
      <c r="L22" s="38" t="s">
        <v>164</v>
      </c>
      <c r="M22" s="38" t="s">
        <v>164</v>
      </c>
      <c r="N22" s="40">
        <f>O22+P22</f>
        <v>4650</v>
      </c>
      <c r="O22" s="40">
        <v>4650</v>
      </c>
      <c r="P22" s="40"/>
      <c r="Q22" s="40"/>
      <c r="R22" s="40">
        <v>4650</v>
      </c>
      <c r="S22" s="40">
        <v>4650</v>
      </c>
      <c r="T22" s="40">
        <v>553</v>
      </c>
      <c r="U22" s="40">
        <v>2229</v>
      </c>
      <c r="V22" s="40">
        <v>1868</v>
      </c>
      <c r="W22" s="40">
        <v>0</v>
      </c>
      <c r="X22" s="40">
        <v>4554.2790000000005</v>
      </c>
      <c r="Y22" s="40">
        <v>1767</v>
      </c>
      <c r="Z22" s="40">
        <f>X22-Y22</f>
        <v>2787.2790000000005</v>
      </c>
      <c r="AA22" s="40"/>
      <c r="AB22" s="40">
        <f>O22-S22</f>
        <v>0</v>
      </c>
      <c r="AC22" s="55" t="s">
        <v>504</v>
      </c>
      <c r="AK22" s="32"/>
      <c r="AL22" s="32"/>
    </row>
    <row r="23" spans="1:38" s="35" customFormat="1" ht="36" customHeight="1" x14ac:dyDescent="0.25">
      <c r="A23" s="47" t="s">
        <v>199</v>
      </c>
      <c r="B23" s="96" t="s">
        <v>406</v>
      </c>
      <c r="C23" s="47"/>
      <c r="D23" s="61"/>
      <c r="E23" s="61"/>
      <c r="F23" s="47"/>
      <c r="G23" s="47"/>
      <c r="H23" s="47"/>
      <c r="I23" s="47"/>
      <c r="J23" s="49">
        <f>J24+J37</f>
        <v>56</v>
      </c>
      <c r="K23" s="85">
        <f>K24+K37</f>
        <v>11.943</v>
      </c>
      <c r="L23" s="47"/>
      <c r="M23" s="47"/>
      <c r="N23" s="39">
        <f>N24+N37</f>
        <v>94650</v>
      </c>
      <c r="O23" s="39">
        <f>O24+O37</f>
        <v>54650</v>
      </c>
      <c r="P23" s="39">
        <f>P24+P37</f>
        <v>40000</v>
      </c>
      <c r="Q23" s="39"/>
      <c r="R23" s="39">
        <f t="shared" ref="R23:AB23" si="10">R24+R37</f>
        <v>10850</v>
      </c>
      <c r="S23" s="39">
        <f t="shared" si="10"/>
        <v>10829</v>
      </c>
      <c r="T23" s="39">
        <f t="shared" ref="T23:AA23" si="11">T24+T37</f>
        <v>920</v>
      </c>
      <c r="U23" s="39">
        <f t="shared" si="11"/>
        <v>4335</v>
      </c>
      <c r="V23" s="39">
        <f t="shared" si="11"/>
        <v>3965</v>
      </c>
      <c r="W23" s="39">
        <f t="shared" si="11"/>
        <v>1841.0830000000001</v>
      </c>
      <c r="X23" s="39">
        <f t="shared" si="11"/>
        <v>11467.823999999999</v>
      </c>
      <c r="Y23" s="39">
        <f t="shared" si="11"/>
        <v>5464</v>
      </c>
      <c r="Z23" s="39">
        <f t="shared" si="11"/>
        <v>3548.3679999999999</v>
      </c>
      <c r="AA23" s="39">
        <f t="shared" si="11"/>
        <v>1840.3029999999999</v>
      </c>
      <c r="AB23" s="39">
        <f t="shared" si="10"/>
        <v>0</v>
      </c>
      <c r="AC23" s="39"/>
      <c r="AK23" s="33"/>
      <c r="AL23" s="33"/>
    </row>
    <row r="24" spans="1:38" s="35" customFormat="1" ht="33.75" customHeight="1" x14ac:dyDescent="0.25">
      <c r="A24" s="47" t="s">
        <v>0</v>
      </c>
      <c r="B24" s="96" t="s">
        <v>407</v>
      </c>
      <c r="C24" s="47"/>
      <c r="D24" s="61"/>
      <c r="E24" s="61"/>
      <c r="F24" s="47"/>
      <c r="G24" s="47"/>
      <c r="H24" s="47"/>
      <c r="I24" s="47"/>
      <c r="J24" s="49">
        <f>J25+J27+J29+J31+J33+J35</f>
        <v>6</v>
      </c>
      <c r="K24" s="85">
        <f>K25+K27+K29+K31+K33+K35</f>
        <v>11.943</v>
      </c>
      <c r="L24" s="47"/>
      <c r="M24" s="47"/>
      <c r="N24" s="39">
        <f>N25+N27+N29+N31+N33+N35</f>
        <v>17150</v>
      </c>
      <c r="O24" s="39">
        <f>O25+O27+O29+O31+O33+O35</f>
        <v>17150</v>
      </c>
      <c r="P24" s="39"/>
      <c r="Q24" s="39"/>
      <c r="R24" s="39">
        <v>10850</v>
      </c>
      <c r="S24" s="39">
        <f t="shared" ref="S24:AB24" si="12">S25+S27+S29+S31+S33+S35</f>
        <v>10829</v>
      </c>
      <c r="T24" s="39">
        <f t="shared" ref="T24:AA24" si="13">T25+T27+T29+T31+T33+T35</f>
        <v>920</v>
      </c>
      <c r="U24" s="39">
        <f t="shared" si="13"/>
        <v>4335</v>
      </c>
      <c r="V24" s="39">
        <f t="shared" si="13"/>
        <v>3965</v>
      </c>
      <c r="W24" s="39">
        <f t="shared" si="13"/>
        <v>1841.0830000000001</v>
      </c>
      <c r="X24" s="39">
        <f t="shared" si="13"/>
        <v>11467.823999999999</v>
      </c>
      <c r="Y24" s="39">
        <f t="shared" si="13"/>
        <v>5464</v>
      </c>
      <c r="Z24" s="39">
        <f t="shared" si="13"/>
        <v>3548.3679999999999</v>
      </c>
      <c r="AA24" s="39">
        <f t="shared" si="13"/>
        <v>1840.3029999999999</v>
      </c>
      <c r="AB24" s="39">
        <f t="shared" si="12"/>
        <v>0</v>
      </c>
      <c r="AC24" s="39"/>
      <c r="AK24" s="33"/>
      <c r="AL24" s="33"/>
    </row>
    <row r="25" spans="1:38" s="35" customFormat="1" ht="30.75" customHeight="1" x14ac:dyDescent="0.25">
      <c r="A25" s="47">
        <v>1</v>
      </c>
      <c r="B25" s="48" t="s">
        <v>359</v>
      </c>
      <c r="C25" s="47"/>
      <c r="D25" s="47"/>
      <c r="E25" s="47"/>
      <c r="F25" s="47"/>
      <c r="G25" s="47"/>
      <c r="H25" s="47"/>
      <c r="I25" s="47"/>
      <c r="J25" s="49">
        <f>J26</f>
        <v>1</v>
      </c>
      <c r="K25" s="85">
        <f>K26</f>
        <v>0.71499999999999997</v>
      </c>
      <c r="L25" s="47"/>
      <c r="M25" s="47"/>
      <c r="N25" s="39">
        <f>N26</f>
        <v>1550</v>
      </c>
      <c r="O25" s="39">
        <f>O26</f>
        <v>1550</v>
      </c>
      <c r="P25" s="39"/>
      <c r="Q25" s="39"/>
      <c r="R25" s="39">
        <f t="shared" ref="R25:AB25" si="14">R26</f>
        <v>1550</v>
      </c>
      <c r="S25" s="39">
        <f t="shared" si="14"/>
        <v>1550</v>
      </c>
      <c r="T25" s="39">
        <f t="shared" si="14"/>
        <v>184</v>
      </c>
      <c r="U25" s="39">
        <f t="shared" si="14"/>
        <v>743</v>
      </c>
      <c r="V25" s="39">
        <f t="shared" si="14"/>
        <v>0</v>
      </c>
      <c r="W25" s="39">
        <f t="shared" si="14"/>
        <v>0</v>
      </c>
      <c r="X25" s="39">
        <f t="shared" si="14"/>
        <v>1542.153</v>
      </c>
      <c r="Y25" s="39">
        <f t="shared" si="14"/>
        <v>927</v>
      </c>
      <c r="Z25" s="39">
        <f t="shared" si="14"/>
        <v>0</v>
      </c>
      <c r="AA25" s="39">
        <f t="shared" si="14"/>
        <v>0</v>
      </c>
      <c r="AB25" s="39">
        <f t="shared" si="14"/>
        <v>0</v>
      </c>
      <c r="AC25" s="39"/>
      <c r="AK25" s="33"/>
      <c r="AL25" s="33"/>
    </row>
    <row r="26" spans="1:38" ht="96.75" customHeight="1" x14ac:dyDescent="0.25">
      <c r="A26" s="38"/>
      <c r="B26" s="97" t="s">
        <v>166</v>
      </c>
      <c r="C26" s="38" t="s">
        <v>167</v>
      </c>
      <c r="D26" s="52" t="s">
        <v>23</v>
      </c>
      <c r="E26" s="52" t="s">
        <v>24</v>
      </c>
      <c r="F26" s="38" t="s">
        <v>169</v>
      </c>
      <c r="G26" s="38" t="s">
        <v>321</v>
      </c>
      <c r="H26" s="38" t="s">
        <v>356</v>
      </c>
      <c r="I26" s="38" t="s">
        <v>384</v>
      </c>
      <c r="J26" s="57">
        <v>1</v>
      </c>
      <c r="K26" s="93">
        <v>0.71499999999999997</v>
      </c>
      <c r="L26" s="38" t="s">
        <v>168</v>
      </c>
      <c r="M26" s="38" t="s">
        <v>168</v>
      </c>
      <c r="N26" s="40">
        <f>O26+P26</f>
        <v>1550</v>
      </c>
      <c r="O26" s="40">
        <v>1550</v>
      </c>
      <c r="P26" s="40"/>
      <c r="Q26" s="40"/>
      <c r="R26" s="40">
        <v>1550</v>
      </c>
      <c r="S26" s="40">
        <v>1550</v>
      </c>
      <c r="T26" s="40">
        <v>184</v>
      </c>
      <c r="U26" s="40">
        <v>743</v>
      </c>
      <c r="V26" s="40"/>
      <c r="W26" s="40"/>
      <c r="X26" s="28">
        <v>1542.153</v>
      </c>
      <c r="Y26" s="40">
        <v>927</v>
      </c>
      <c r="Z26" s="40"/>
      <c r="AA26" s="40"/>
      <c r="AB26" s="40">
        <f>O26-S26</f>
        <v>0</v>
      </c>
      <c r="AC26" s="55" t="s">
        <v>485</v>
      </c>
      <c r="AD26" s="29"/>
      <c r="AK26" s="32"/>
      <c r="AL26" s="32"/>
    </row>
    <row r="27" spans="1:38" s="35" customFormat="1" ht="54" customHeight="1" x14ac:dyDescent="0.25">
      <c r="A27" s="47">
        <v>2</v>
      </c>
      <c r="B27" s="59" t="s">
        <v>360</v>
      </c>
      <c r="C27" s="47"/>
      <c r="D27" s="61"/>
      <c r="E27" s="61"/>
      <c r="F27" s="47"/>
      <c r="G27" s="47"/>
      <c r="H27" s="47"/>
      <c r="I27" s="47"/>
      <c r="J27" s="49">
        <f>J28</f>
        <v>1</v>
      </c>
      <c r="K27" s="49">
        <f>K28</f>
        <v>1.4</v>
      </c>
      <c r="L27" s="47"/>
      <c r="M27" s="47"/>
      <c r="N27" s="39">
        <f>N28</f>
        <v>1550</v>
      </c>
      <c r="O27" s="39">
        <f>O28</f>
        <v>1550</v>
      </c>
      <c r="P27" s="39"/>
      <c r="Q27" s="39"/>
      <c r="R27" s="39">
        <f t="shared" ref="R27:AB27" si="15">R28</f>
        <v>1550</v>
      </c>
      <c r="S27" s="39">
        <f t="shared" si="15"/>
        <v>1550</v>
      </c>
      <c r="T27" s="39">
        <f t="shared" si="15"/>
        <v>184</v>
      </c>
      <c r="U27" s="39">
        <f t="shared" si="15"/>
        <v>743</v>
      </c>
      <c r="V27" s="39">
        <f t="shared" si="15"/>
        <v>623</v>
      </c>
      <c r="W27" s="39">
        <f t="shared" si="15"/>
        <v>0</v>
      </c>
      <c r="X27" s="39">
        <f t="shared" si="15"/>
        <v>1444.4559999999999</v>
      </c>
      <c r="Y27" s="39">
        <f t="shared" si="15"/>
        <v>927</v>
      </c>
      <c r="Z27" s="39">
        <f t="shared" si="15"/>
        <v>517.4559999999999</v>
      </c>
      <c r="AA27" s="39">
        <f t="shared" si="15"/>
        <v>0</v>
      </c>
      <c r="AB27" s="39">
        <f t="shared" si="15"/>
        <v>0</v>
      </c>
      <c r="AC27" s="39"/>
      <c r="AK27" s="33"/>
      <c r="AL27" s="33"/>
    </row>
    <row r="28" spans="1:38" ht="68.25" customHeight="1" x14ac:dyDescent="0.25">
      <c r="A28" s="38"/>
      <c r="B28" s="98" t="s">
        <v>170</v>
      </c>
      <c r="C28" s="38" t="s">
        <v>171</v>
      </c>
      <c r="D28" s="52" t="s">
        <v>23</v>
      </c>
      <c r="E28" s="52" t="s">
        <v>24</v>
      </c>
      <c r="F28" s="38" t="s">
        <v>173</v>
      </c>
      <c r="G28" s="38" t="s">
        <v>321</v>
      </c>
      <c r="H28" s="38" t="s">
        <v>346</v>
      </c>
      <c r="I28" s="38" t="s">
        <v>384</v>
      </c>
      <c r="J28" s="57">
        <v>1</v>
      </c>
      <c r="K28" s="57">
        <v>1.4</v>
      </c>
      <c r="L28" s="38" t="s">
        <v>172</v>
      </c>
      <c r="M28" s="38" t="s">
        <v>172</v>
      </c>
      <c r="N28" s="40">
        <f>O28+P28</f>
        <v>1550</v>
      </c>
      <c r="O28" s="40">
        <v>1550</v>
      </c>
      <c r="P28" s="40"/>
      <c r="Q28" s="40"/>
      <c r="R28" s="40">
        <v>1550</v>
      </c>
      <c r="S28" s="40">
        <v>1550</v>
      </c>
      <c r="T28" s="40">
        <v>184</v>
      </c>
      <c r="U28" s="40">
        <v>743</v>
      </c>
      <c r="V28" s="40">
        <f>S28-T28-U28</f>
        <v>623</v>
      </c>
      <c r="W28" s="40"/>
      <c r="X28" s="27">
        <v>1444.4559999999999</v>
      </c>
      <c r="Y28" s="40">
        <v>927</v>
      </c>
      <c r="Z28" s="40">
        <f>X28-Y28</f>
        <v>517.4559999999999</v>
      </c>
      <c r="AA28" s="40"/>
      <c r="AB28" s="40">
        <f>O28-S28</f>
        <v>0</v>
      </c>
      <c r="AC28" s="55" t="s">
        <v>504</v>
      </c>
      <c r="AD28" s="38"/>
      <c r="AK28" s="32"/>
      <c r="AL28" s="32"/>
    </row>
    <row r="29" spans="1:38" s="35" customFormat="1" ht="52.5" customHeight="1" x14ac:dyDescent="0.25">
      <c r="A29" s="47">
        <v>3</v>
      </c>
      <c r="B29" s="88" t="s">
        <v>364</v>
      </c>
      <c r="C29" s="47"/>
      <c r="D29" s="61"/>
      <c r="E29" s="61"/>
      <c r="F29" s="47"/>
      <c r="G29" s="47"/>
      <c r="H29" s="47"/>
      <c r="I29" s="47"/>
      <c r="J29" s="49">
        <f>J30</f>
        <v>1</v>
      </c>
      <c r="K29" s="49">
        <f>K30</f>
        <v>1</v>
      </c>
      <c r="L29" s="47"/>
      <c r="M29" s="47"/>
      <c r="N29" s="39">
        <f>N30</f>
        <v>1550</v>
      </c>
      <c r="O29" s="39">
        <f>O30</f>
        <v>1550</v>
      </c>
      <c r="P29" s="39"/>
      <c r="Q29" s="39"/>
      <c r="R29" s="39">
        <f t="shared" ref="R29:AB29" si="16">R30</f>
        <v>1550</v>
      </c>
      <c r="S29" s="39">
        <f t="shared" si="16"/>
        <v>1550</v>
      </c>
      <c r="T29" s="39">
        <f t="shared" si="16"/>
        <v>184</v>
      </c>
      <c r="U29" s="39">
        <f t="shared" si="16"/>
        <v>743</v>
      </c>
      <c r="V29" s="39">
        <f t="shared" si="16"/>
        <v>623</v>
      </c>
      <c r="W29" s="39">
        <f t="shared" si="16"/>
        <v>0</v>
      </c>
      <c r="X29" s="39">
        <f t="shared" si="16"/>
        <v>1468.3409999999999</v>
      </c>
      <c r="Y29" s="39">
        <f t="shared" si="16"/>
        <v>513</v>
      </c>
      <c r="Z29" s="39">
        <f t="shared" si="16"/>
        <v>955.34099999999989</v>
      </c>
      <c r="AA29" s="39">
        <f t="shared" si="16"/>
        <v>0</v>
      </c>
      <c r="AB29" s="39">
        <f t="shared" si="16"/>
        <v>0</v>
      </c>
      <c r="AC29" s="39"/>
      <c r="AK29" s="33"/>
      <c r="AL29" s="33"/>
    </row>
    <row r="30" spans="1:38" ht="90" customHeight="1" x14ac:dyDescent="0.25">
      <c r="A30" s="38"/>
      <c r="B30" s="99" t="s">
        <v>174</v>
      </c>
      <c r="C30" s="38" t="s">
        <v>175</v>
      </c>
      <c r="D30" s="52" t="s">
        <v>23</v>
      </c>
      <c r="E30" s="52" t="s">
        <v>24</v>
      </c>
      <c r="F30" s="38" t="s">
        <v>177</v>
      </c>
      <c r="G30" s="38" t="s">
        <v>321</v>
      </c>
      <c r="H30" s="38" t="s">
        <v>321</v>
      </c>
      <c r="I30" s="38" t="s">
        <v>384</v>
      </c>
      <c r="J30" s="57">
        <v>1</v>
      </c>
      <c r="K30" s="57">
        <v>1</v>
      </c>
      <c r="L30" s="38" t="s">
        <v>176</v>
      </c>
      <c r="M30" s="38" t="s">
        <v>434</v>
      </c>
      <c r="N30" s="40">
        <f>O30+P30</f>
        <v>1550</v>
      </c>
      <c r="O30" s="40">
        <v>1550</v>
      </c>
      <c r="P30" s="40"/>
      <c r="Q30" s="40"/>
      <c r="R30" s="40">
        <v>1550</v>
      </c>
      <c r="S30" s="40">
        <v>1550</v>
      </c>
      <c r="T30" s="40">
        <v>184</v>
      </c>
      <c r="U30" s="40">
        <v>743</v>
      </c>
      <c r="V30" s="40">
        <f>S30-T30-U30</f>
        <v>623</v>
      </c>
      <c r="W30" s="40"/>
      <c r="X30" s="30">
        <v>1468.3409999999999</v>
      </c>
      <c r="Y30" s="40">
        <v>513</v>
      </c>
      <c r="Z30" s="40">
        <f>X30-Y30</f>
        <v>955.34099999999989</v>
      </c>
      <c r="AA30" s="40"/>
      <c r="AB30" s="40">
        <f>O30-S30</f>
        <v>0</v>
      </c>
      <c r="AC30" s="55" t="s">
        <v>485</v>
      </c>
      <c r="AD30" s="38"/>
      <c r="AK30" s="32"/>
      <c r="AL30" s="32"/>
    </row>
    <row r="31" spans="1:38" s="35" customFormat="1" ht="42" customHeight="1" x14ac:dyDescent="0.25">
      <c r="A31" s="47">
        <v>4</v>
      </c>
      <c r="B31" s="88" t="s">
        <v>365</v>
      </c>
      <c r="C31" s="47"/>
      <c r="D31" s="61"/>
      <c r="E31" s="61"/>
      <c r="F31" s="47"/>
      <c r="G31" s="47"/>
      <c r="H31" s="47"/>
      <c r="I31" s="47"/>
      <c r="J31" s="49">
        <f>J32</f>
        <v>1</v>
      </c>
      <c r="K31" s="49">
        <f>K32</f>
        <v>5.91</v>
      </c>
      <c r="L31" s="47"/>
      <c r="M31" s="47"/>
      <c r="N31" s="39">
        <f>N32</f>
        <v>7850</v>
      </c>
      <c r="O31" s="39">
        <f>O32</f>
        <v>7850</v>
      </c>
      <c r="P31" s="39"/>
      <c r="Q31" s="39"/>
      <c r="R31" s="39">
        <f t="shared" ref="R31:AB31" si="17">R32</f>
        <v>2405</v>
      </c>
      <c r="S31" s="39">
        <f t="shared" si="17"/>
        <v>1550</v>
      </c>
      <c r="T31" s="39">
        <f t="shared" si="17"/>
        <v>184</v>
      </c>
      <c r="U31" s="39">
        <f t="shared" si="17"/>
        <v>743</v>
      </c>
      <c r="V31" s="39">
        <f t="shared" si="17"/>
        <v>623</v>
      </c>
      <c r="W31" s="39">
        <f t="shared" si="17"/>
        <v>855.08299999999997</v>
      </c>
      <c r="X31" s="39">
        <f t="shared" si="17"/>
        <v>2405.0830000000001</v>
      </c>
      <c r="Y31" s="39">
        <f t="shared" si="17"/>
        <v>1550</v>
      </c>
      <c r="Z31" s="39">
        <f t="shared" si="17"/>
        <v>0</v>
      </c>
      <c r="AA31" s="39">
        <f t="shared" si="17"/>
        <v>855.08299999999997</v>
      </c>
      <c r="AB31" s="39">
        <f t="shared" si="17"/>
        <v>0</v>
      </c>
      <c r="AC31" s="39"/>
      <c r="AK31" s="33"/>
      <c r="AL31" s="33"/>
    </row>
    <row r="32" spans="1:38" ht="97.5" customHeight="1" x14ac:dyDescent="0.25">
      <c r="A32" s="38"/>
      <c r="B32" s="100" t="s">
        <v>178</v>
      </c>
      <c r="C32" s="38" t="s">
        <v>179</v>
      </c>
      <c r="D32" s="52" t="s">
        <v>23</v>
      </c>
      <c r="E32" s="52" t="s">
        <v>24</v>
      </c>
      <c r="F32" s="38" t="s">
        <v>181</v>
      </c>
      <c r="G32" s="38" t="s">
        <v>321</v>
      </c>
      <c r="H32" s="38" t="s">
        <v>321</v>
      </c>
      <c r="I32" s="38" t="s">
        <v>384</v>
      </c>
      <c r="J32" s="57">
        <v>1</v>
      </c>
      <c r="K32" s="57">
        <v>5.91</v>
      </c>
      <c r="L32" s="38" t="s">
        <v>180</v>
      </c>
      <c r="M32" s="38" t="s">
        <v>180</v>
      </c>
      <c r="N32" s="40">
        <v>7850</v>
      </c>
      <c r="O32" s="40">
        <v>7850</v>
      </c>
      <c r="P32" s="40"/>
      <c r="Q32" s="40"/>
      <c r="R32" s="40">
        <v>2405</v>
      </c>
      <c r="S32" s="40">
        <v>1550</v>
      </c>
      <c r="T32" s="40">
        <v>184</v>
      </c>
      <c r="U32" s="40">
        <v>743</v>
      </c>
      <c r="V32" s="40">
        <v>623</v>
      </c>
      <c r="W32" s="40">
        <v>855.08299999999997</v>
      </c>
      <c r="X32" s="40">
        <v>2405.0830000000001</v>
      </c>
      <c r="Y32" s="40">
        <v>1550</v>
      </c>
      <c r="Z32" s="40">
        <v>0</v>
      </c>
      <c r="AA32" s="40">
        <v>855.08299999999997</v>
      </c>
      <c r="AB32" s="40">
        <v>0</v>
      </c>
      <c r="AC32" s="55" t="s">
        <v>492</v>
      </c>
      <c r="AE32" s="31" t="s">
        <v>499</v>
      </c>
      <c r="AK32" s="32"/>
      <c r="AL32" s="32"/>
    </row>
    <row r="33" spans="1:38" s="35" customFormat="1" ht="37.5" customHeight="1" x14ac:dyDescent="0.25">
      <c r="A33" s="47">
        <v>5</v>
      </c>
      <c r="B33" s="91" t="s">
        <v>366</v>
      </c>
      <c r="C33" s="47"/>
      <c r="D33" s="61"/>
      <c r="E33" s="61"/>
      <c r="F33" s="47"/>
      <c r="G33" s="47"/>
      <c r="H33" s="47"/>
      <c r="I33" s="47"/>
      <c r="J33" s="49">
        <f>J34</f>
        <v>1</v>
      </c>
      <c r="K33" s="85">
        <f>K34</f>
        <v>1.9179999999999999</v>
      </c>
      <c r="L33" s="47"/>
      <c r="M33" s="47"/>
      <c r="N33" s="39">
        <f>N34</f>
        <v>3100</v>
      </c>
      <c r="O33" s="39">
        <f>O34</f>
        <v>3100</v>
      </c>
      <c r="P33" s="39"/>
      <c r="Q33" s="39"/>
      <c r="R33" s="39">
        <f>R34</f>
        <v>3100</v>
      </c>
      <c r="S33" s="39">
        <f>S34</f>
        <v>3079</v>
      </c>
      <c r="T33" s="39">
        <f t="shared" ref="T33:AA33" si="18">T34</f>
        <v>0</v>
      </c>
      <c r="U33" s="39">
        <f t="shared" si="18"/>
        <v>620</v>
      </c>
      <c r="V33" s="39">
        <f t="shared" si="18"/>
        <v>1473</v>
      </c>
      <c r="W33" s="39">
        <f t="shared" si="18"/>
        <v>986</v>
      </c>
      <c r="X33" s="39">
        <f t="shared" si="18"/>
        <v>3078.2220000000002</v>
      </c>
      <c r="Y33" s="39">
        <f t="shared" si="18"/>
        <v>620</v>
      </c>
      <c r="Z33" s="39">
        <f t="shared" si="18"/>
        <v>1473.0020000000002</v>
      </c>
      <c r="AA33" s="39">
        <f t="shared" si="18"/>
        <v>985.22</v>
      </c>
      <c r="AB33" s="39">
        <f t="shared" ref="AB33" si="19">AB34</f>
        <v>0</v>
      </c>
      <c r="AC33" s="39"/>
      <c r="AK33" s="33"/>
      <c r="AL33" s="33"/>
    </row>
    <row r="34" spans="1:38" ht="90.75" customHeight="1" x14ac:dyDescent="0.25">
      <c r="A34" s="38"/>
      <c r="B34" s="101" t="s">
        <v>298</v>
      </c>
      <c r="C34" s="38" t="s">
        <v>299</v>
      </c>
      <c r="D34" s="52" t="s">
        <v>23</v>
      </c>
      <c r="E34" s="52" t="s">
        <v>24</v>
      </c>
      <c r="F34" s="38" t="s">
        <v>295</v>
      </c>
      <c r="G34" s="38" t="s">
        <v>321</v>
      </c>
      <c r="H34" s="38" t="s">
        <v>376</v>
      </c>
      <c r="I34" s="38" t="s">
        <v>384</v>
      </c>
      <c r="J34" s="57">
        <v>1</v>
      </c>
      <c r="K34" s="93">
        <v>1.9179999999999999</v>
      </c>
      <c r="L34" s="38" t="s">
        <v>500</v>
      </c>
      <c r="M34" s="38" t="s">
        <v>500</v>
      </c>
      <c r="N34" s="40">
        <v>3100</v>
      </c>
      <c r="O34" s="40">
        <v>3100</v>
      </c>
      <c r="P34" s="40"/>
      <c r="Q34" s="40"/>
      <c r="R34" s="40">
        <v>3100</v>
      </c>
      <c r="S34" s="40">
        <f>3100-21</f>
        <v>3079</v>
      </c>
      <c r="T34" s="40"/>
      <c r="U34" s="40">
        <v>620</v>
      </c>
      <c r="V34" s="40">
        <f>S34-U34-W34</f>
        <v>1473</v>
      </c>
      <c r="W34" s="40">
        <f>1007-21</f>
        <v>986</v>
      </c>
      <c r="X34" s="30">
        <v>3078.2220000000002</v>
      </c>
      <c r="Y34" s="40">
        <v>620</v>
      </c>
      <c r="Z34" s="40">
        <f>X34-Y34-AA34</f>
        <v>1473.0020000000002</v>
      </c>
      <c r="AA34" s="40">
        <v>985.22</v>
      </c>
      <c r="AB34" s="40"/>
      <c r="AC34" s="55" t="s">
        <v>469</v>
      </c>
      <c r="AK34" s="32"/>
      <c r="AL34" s="32"/>
    </row>
    <row r="35" spans="1:38" s="35" customFormat="1" ht="38.25" customHeight="1" x14ac:dyDescent="0.25">
      <c r="A35" s="47">
        <v>6</v>
      </c>
      <c r="B35" s="94" t="s">
        <v>367</v>
      </c>
      <c r="C35" s="47"/>
      <c r="D35" s="61"/>
      <c r="E35" s="61"/>
      <c r="F35" s="47"/>
      <c r="G35" s="47"/>
      <c r="H35" s="47"/>
      <c r="I35" s="47"/>
      <c r="J35" s="49">
        <f>J36</f>
        <v>1</v>
      </c>
      <c r="K35" s="49">
        <f>K36</f>
        <v>1</v>
      </c>
      <c r="L35" s="47"/>
      <c r="M35" s="47"/>
      <c r="N35" s="39">
        <f>N36</f>
        <v>1550</v>
      </c>
      <c r="O35" s="39">
        <f>O36</f>
        <v>1550</v>
      </c>
      <c r="P35" s="39"/>
      <c r="Q35" s="39"/>
      <c r="R35" s="39">
        <f t="shared" ref="R35:AB35" si="20">R36</f>
        <v>1550</v>
      </c>
      <c r="S35" s="39">
        <f t="shared" si="20"/>
        <v>1550</v>
      </c>
      <c r="T35" s="39">
        <f t="shared" si="20"/>
        <v>184</v>
      </c>
      <c r="U35" s="39">
        <f t="shared" si="20"/>
        <v>743</v>
      </c>
      <c r="V35" s="39">
        <f t="shared" si="20"/>
        <v>623</v>
      </c>
      <c r="W35" s="39">
        <f t="shared" si="20"/>
        <v>0</v>
      </c>
      <c r="X35" s="39">
        <f t="shared" si="20"/>
        <v>1529.569</v>
      </c>
      <c r="Y35" s="39">
        <f t="shared" si="20"/>
        <v>927</v>
      </c>
      <c r="Z35" s="39">
        <f t="shared" si="20"/>
        <v>602.56899999999996</v>
      </c>
      <c r="AA35" s="39">
        <f t="shared" si="20"/>
        <v>0</v>
      </c>
      <c r="AB35" s="39">
        <f t="shared" si="20"/>
        <v>0</v>
      </c>
      <c r="AC35" s="39"/>
      <c r="AK35" s="33"/>
      <c r="AL35" s="33"/>
    </row>
    <row r="36" spans="1:38" ht="65.25" customHeight="1" x14ac:dyDescent="0.25">
      <c r="A36" s="38"/>
      <c r="B36" s="102" t="s">
        <v>162</v>
      </c>
      <c r="C36" s="38" t="s">
        <v>184</v>
      </c>
      <c r="D36" s="52" t="s">
        <v>23</v>
      </c>
      <c r="E36" s="52" t="s">
        <v>24</v>
      </c>
      <c r="F36" s="38" t="s">
        <v>185</v>
      </c>
      <c r="G36" s="38" t="s">
        <v>321</v>
      </c>
      <c r="H36" s="38" t="s">
        <v>321</v>
      </c>
      <c r="I36" s="38" t="s">
        <v>384</v>
      </c>
      <c r="J36" s="57">
        <v>1</v>
      </c>
      <c r="K36" s="57">
        <v>1</v>
      </c>
      <c r="L36" s="38" t="s">
        <v>172</v>
      </c>
      <c r="M36" s="38" t="s">
        <v>172</v>
      </c>
      <c r="N36" s="40">
        <f>O36+P36</f>
        <v>1550</v>
      </c>
      <c r="O36" s="40">
        <v>1550</v>
      </c>
      <c r="P36" s="40"/>
      <c r="Q36" s="40"/>
      <c r="R36" s="40">
        <v>1550</v>
      </c>
      <c r="S36" s="40">
        <f>T36+U36+W36+V36</f>
        <v>1550</v>
      </c>
      <c r="T36" s="40">
        <v>184</v>
      </c>
      <c r="U36" s="40">
        <v>743</v>
      </c>
      <c r="V36" s="40">
        <v>623</v>
      </c>
      <c r="W36" s="40">
        <v>0</v>
      </c>
      <c r="X36" s="40">
        <v>1529.569</v>
      </c>
      <c r="Y36" s="40">
        <v>927</v>
      </c>
      <c r="Z36" s="40">
        <f>X36-Y36</f>
        <v>602.56899999999996</v>
      </c>
      <c r="AA36" s="40"/>
      <c r="AB36" s="40">
        <v>0</v>
      </c>
      <c r="AC36" s="55" t="s">
        <v>504</v>
      </c>
      <c r="AK36" s="32"/>
      <c r="AL36" s="32"/>
    </row>
    <row r="37" spans="1:38" s="35" customFormat="1" ht="44.25" customHeight="1" x14ac:dyDescent="0.25">
      <c r="A37" s="47" t="s">
        <v>1</v>
      </c>
      <c r="B37" s="48" t="s">
        <v>408</v>
      </c>
      <c r="C37" s="47"/>
      <c r="D37" s="47"/>
      <c r="E37" s="47"/>
      <c r="F37" s="47"/>
      <c r="G37" s="47"/>
      <c r="H37" s="47"/>
      <c r="I37" s="47"/>
      <c r="J37" s="49">
        <f>J38+J41+J43+J46+J48</f>
        <v>50</v>
      </c>
      <c r="K37" s="49"/>
      <c r="L37" s="47"/>
      <c r="M37" s="47"/>
      <c r="N37" s="39">
        <f>N38+N41+N43+N46+N48</f>
        <v>77500</v>
      </c>
      <c r="O37" s="39">
        <f>O38+O41+O43+O46+O48</f>
        <v>37500</v>
      </c>
      <c r="P37" s="39">
        <f>P38+P41+P43+P46+P48</f>
        <v>40000</v>
      </c>
      <c r="Q37" s="39"/>
      <c r="R37" s="39"/>
      <c r="S37" s="39"/>
      <c r="T37" s="39"/>
      <c r="U37" s="47"/>
      <c r="V37" s="47"/>
      <c r="W37" s="47"/>
      <c r="X37" s="47"/>
      <c r="Y37" s="47"/>
      <c r="Z37" s="39"/>
      <c r="AA37" s="39"/>
      <c r="AB37" s="39"/>
      <c r="AC37" s="47"/>
      <c r="AK37" s="33"/>
      <c r="AL37" s="33"/>
    </row>
    <row r="38" spans="1:38" s="35" customFormat="1" ht="37.5" customHeight="1" x14ac:dyDescent="0.25">
      <c r="A38" s="47">
        <v>1</v>
      </c>
      <c r="B38" s="48" t="s">
        <v>359</v>
      </c>
      <c r="C38" s="47"/>
      <c r="D38" s="47"/>
      <c r="E38" s="47"/>
      <c r="F38" s="47"/>
      <c r="G38" s="47"/>
      <c r="H38" s="47"/>
      <c r="I38" s="47"/>
      <c r="J38" s="49">
        <f>J39+J40</f>
        <v>7</v>
      </c>
      <c r="K38" s="49"/>
      <c r="L38" s="47"/>
      <c r="M38" s="47"/>
      <c r="N38" s="39">
        <f>N39+N40</f>
        <v>10850</v>
      </c>
      <c r="O38" s="39">
        <f>O39+O40</f>
        <v>5250</v>
      </c>
      <c r="P38" s="39">
        <f>P39+P40</f>
        <v>5600</v>
      </c>
      <c r="Q38" s="39"/>
      <c r="R38" s="39"/>
      <c r="S38" s="39"/>
      <c r="T38" s="39"/>
      <c r="U38" s="47"/>
      <c r="V38" s="47"/>
      <c r="W38" s="47"/>
      <c r="X38" s="47"/>
      <c r="Y38" s="47"/>
      <c r="Z38" s="39"/>
      <c r="AA38" s="39"/>
      <c r="AB38" s="39"/>
      <c r="AC38" s="47"/>
      <c r="AK38" s="33"/>
      <c r="AL38" s="33"/>
    </row>
    <row r="39" spans="1:38" ht="54" customHeight="1" x14ac:dyDescent="0.25">
      <c r="A39" s="38"/>
      <c r="B39" s="103" t="s">
        <v>200</v>
      </c>
      <c r="C39" s="38" t="s">
        <v>201</v>
      </c>
      <c r="D39" s="52" t="s">
        <v>23</v>
      </c>
      <c r="E39" s="52" t="s">
        <v>202</v>
      </c>
      <c r="F39" s="38"/>
      <c r="G39" s="38" t="s">
        <v>320</v>
      </c>
      <c r="H39" s="38"/>
      <c r="I39" s="38" t="s">
        <v>384</v>
      </c>
      <c r="J39" s="57">
        <v>3.5</v>
      </c>
      <c r="K39" s="57"/>
      <c r="L39" s="296" t="s">
        <v>180</v>
      </c>
      <c r="M39" s="38"/>
      <c r="N39" s="40">
        <f>O39+P39</f>
        <v>5425</v>
      </c>
      <c r="O39" s="40">
        <v>2625</v>
      </c>
      <c r="P39" s="40">
        <v>2800</v>
      </c>
      <c r="Q39" s="40"/>
      <c r="R39" s="40"/>
      <c r="S39" s="40"/>
      <c r="T39" s="40"/>
      <c r="U39" s="38"/>
      <c r="V39" s="38"/>
      <c r="W39" s="38"/>
      <c r="X39" s="38"/>
      <c r="Y39" s="38"/>
      <c r="Z39" s="40"/>
      <c r="AA39" s="40"/>
      <c r="AB39" s="40"/>
      <c r="AC39" s="38" t="s">
        <v>503</v>
      </c>
      <c r="AK39" s="32"/>
      <c r="AL39" s="32"/>
    </row>
    <row r="40" spans="1:38" ht="52.5" customHeight="1" x14ac:dyDescent="0.25">
      <c r="A40" s="38"/>
      <c r="B40" s="103" t="s">
        <v>203</v>
      </c>
      <c r="C40" s="38" t="s">
        <v>204</v>
      </c>
      <c r="D40" s="52" t="s">
        <v>23</v>
      </c>
      <c r="E40" s="52" t="s">
        <v>202</v>
      </c>
      <c r="F40" s="38"/>
      <c r="G40" s="38" t="s">
        <v>320</v>
      </c>
      <c r="H40" s="38"/>
      <c r="I40" s="38" t="s">
        <v>384</v>
      </c>
      <c r="J40" s="57">
        <v>3.5</v>
      </c>
      <c r="K40" s="57"/>
      <c r="L40" s="296"/>
      <c r="M40" s="38"/>
      <c r="N40" s="40">
        <f>O40+P40</f>
        <v>5425</v>
      </c>
      <c r="O40" s="40">
        <v>2625</v>
      </c>
      <c r="P40" s="40">
        <v>2800</v>
      </c>
      <c r="Q40" s="40"/>
      <c r="R40" s="40"/>
      <c r="S40" s="40"/>
      <c r="T40" s="40"/>
      <c r="U40" s="38"/>
      <c r="V40" s="38"/>
      <c r="W40" s="38"/>
      <c r="X40" s="38"/>
      <c r="Y40" s="38"/>
      <c r="Z40" s="40"/>
      <c r="AA40" s="40"/>
      <c r="AB40" s="40"/>
      <c r="AC40" s="38" t="s">
        <v>503</v>
      </c>
      <c r="AK40" s="32"/>
      <c r="AL40" s="32"/>
    </row>
    <row r="41" spans="1:38" s="35" customFormat="1" ht="36" customHeight="1" x14ac:dyDescent="0.25">
      <c r="A41" s="47">
        <v>2</v>
      </c>
      <c r="B41" s="104" t="s">
        <v>364</v>
      </c>
      <c r="C41" s="47"/>
      <c r="D41" s="61"/>
      <c r="E41" s="61"/>
      <c r="F41" s="47"/>
      <c r="G41" s="47"/>
      <c r="H41" s="47"/>
      <c r="I41" s="47"/>
      <c r="J41" s="49">
        <f>J42</f>
        <v>5</v>
      </c>
      <c r="K41" s="49"/>
      <c r="L41" s="47"/>
      <c r="M41" s="47"/>
      <c r="N41" s="39">
        <f>N42</f>
        <v>7750</v>
      </c>
      <c r="O41" s="39">
        <f>O42</f>
        <v>3750</v>
      </c>
      <c r="P41" s="39">
        <f>P42</f>
        <v>4000</v>
      </c>
      <c r="Q41" s="39"/>
      <c r="R41" s="39"/>
      <c r="S41" s="39"/>
      <c r="T41" s="39"/>
      <c r="U41" s="47"/>
      <c r="V41" s="47"/>
      <c r="W41" s="47"/>
      <c r="X41" s="47"/>
      <c r="Y41" s="47"/>
      <c r="Z41" s="39"/>
      <c r="AA41" s="39"/>
      <c r="AB41" s="39"/>
      <c r="AC41" s="47"/>
      <c r="AK41" s="33"/>
      <c r="AL41" s="33"/>
    </row>
    <row r="42" spans="1:38" ht="78.75" customHeight="1" x14ac:dyDescent="0.25">
      <c r="A42" s="38"/>
      <c r="B42" s="105" t="s">
        <v>205</v>
      </c>
      <c r="C42" s="38" t="s">
        <v>206</v>
      </c>
      <c r="D42" s="52" t="s">
        <v>23</v>
      </c>
      <c r="E42" s="52" t="s">
        <v>202</v>
      </c>
      <c r="F42" s="38"/>
      <c r="G42" s="38" t="s">
        <v>323</v>
      </c>
      <c r="H42" s="38"/>
      <c r="I42" s="38" t="s">
        <v>384</v>
      </c>
      <c r="J42" s="57">
        <v>5</v>
      </c>
      <c r="K42" s="57"/>
      <c r="L42" s="38" t="s">
        <v>183</v>
      </c>
      <c r="M42" s="38"/>
      <c r="N42" s="40">
        <f>O42+P42</f>
        <v>7750</v>
      </c>
      <c r="O42" s="40">
        <v>3750</v>
      </c>
      <c r="P42" s="40">
        <v>4000</v>
      </c>
      <c r="Q42" s="40"/>
      <c r="R42" s="40"/>
      <c r="S42" s="40"/>
      <c r="T42" s="40"/>
      <c r="U42" s="38"/>
      <c r="V42" s="38"/>
      <c r="W42" s="38"/>
      <c r="X42" s="38"/>
      <c r="Y42" s="38"/>
      <c r="Z42" s="40"/>
      <c r="AA42" s="40"/>
      <c r="AB42" s="40"/>
      <c r="AC42" s="38" t="s">
        <v>503</v>
      </c>
      <c r="AK42" s="32"/>
      <c r="AL42" s="32"/>
    </row>
    <row r="43" spans="1:38" s="35" customFormat="1" ht="30" customHeight="1" x14ac:dyDescent="0.25">
      <c r="A43" s="47">
        <v>3</v>
      </c>
      <c r="B43" s="106" t="s">
        <v>365</v>
      </c>
      <c r="C43" s="47"/>
      <c r="D43" s="61"/>
      <c r="E43" s="61"/>
      <c r="F43" s="47"/>
      <c r="G43" s="47"/>
      <c r="H43" s="47"/>
      <c r="I43" s="47"/>
      <c r="J43" s="49">
        <f>J44+J45</f>
        <v>13</v>
      </c>
      <c r="K43" s="49"/>
      <c r="L43" s="47"/>
      <c r="M43" s="47"/>
      <c r="N43" s="39">
        <f>N44+N45</f>
        <v>20150</v>
      </c>
      <c r="O43" s="39">
        <f>O44+O45</f>
        <v>9750</v>
      </c>
      <c r="P43" s="39">
        <f>P44+P45</f>
        <v>10400</v>
      </c>
      <c r="Q43" s="39"/>
      <c r="R43" s="39"/>
      <c r="S43" s="39"/>
      <c r="T43" s="39"/>
      <c r="U43" s="47"/>
      <c r="V43" s="47"/>
      <c r="W43" s="47"/>
      <c r="X43" s="47"/>
      <c r="Y43" s="47"/>
      <c r="Z43" s="39"/>
      <c r="AA43" s="39"/>
      <c r="AB43" s="39"/>
      <c r="AC43" s="47"/>
      <c r="AK43" s="33"/>
      <c r="AL43" s="33"/>
    </row>
    <row r="44" spans="1:38" ht="51.75" customHeight="1" x14ac:dyDescent="0.25">
      <c r="A44" s="38"/>
      <c r="B44" s="107" t="s">
        <v>207</v>
      </c>
      <c r="C44" s="38" t="s">
        <v>208</v>
      </c>
      <c r="D44" s="52" t="s">
        <v>23</v>
      </c>
      <c r="E44" s="52" t="s">
        <v>202</v>
      </c>
      <c r="F44" s="38"/>
      <c r="G44" s="38" t="s">
        <v>324</v>
      </c>
      <c r="H44" s="38"/>
      <c r="I44" s="38" t="s">
        <v>384</v>
      </c>
      <c r="J44" s="57">
        <v>6.5</v>
      </c>
      <c r="K44" s="57"/>
      <c r="L44" s="296" t="s">
        <v>209</v>
      </c>
      <c r="M44" s="38"/>
      <c r="N44" s="40">
        <f>O44+P44</f>
        <v>10075</v>
      </c>
      <c r="O44" s="40">
        <v>4875</v>
      </c>
      <c r="P44" s="40">
        <v>5200</v>
      </c>
      <c r="Q44" s="40"/>
      <c r="R44" s="40"/>
      <c r="S44" s="40"/>
      <c r="T44" s="40"/>
      <c r="U44" s="38"/>
      <c r="V44" s="38"/>
      <c r="W44" s="38"/>
      <c r="X44" s="38"/>
      <c r="Y44" s="38"/>
      <c r="Z44" s="40"/>
      <c r="AA44" s="40"/>
      <c r="AB44" s="40"/>
      <c r="AC44" s="38" t="s">
        <v>503</v>
      </c>
      <c r="AK44" s="32"/>
      <c r="AL44" s="32"/>
    </row>
    <row r="45" spans="1:38" ht="53.25" customHeight="1" x14ac:dyDescent="0.25">
      <c r="A45" s="38"/>
      <c r="B45" s="107" t="s">
        <v>210</v>
      </c>
      <c r="C45" s="38" t="s">
        <v>211</v>
      </c>
      <c r="D45" s="52" t="s">
        <v>23</v>
      </c>
      <c r="E45" s="52" t="s">
        <v>202</v>
      </c>
      <c r="F45" s="38"/>
      <c r="G45" s="38" t="s">
        <v>324</v>
      </c>
      <c r="H45" s="38"/>
      <c r="I45" s="38" t="s">
        <v>384</v>
      </c>
      <c r="J45" s="57">
        <v>6.5</v>
      </c>
      <c r="K45" s="57"/>
      <c r="L45" s="296"/>
      <c r="M45" s="38"/>
      <c r="N45" s="40">
        <f>O45+P45</f>
        <v>10075</v>
      </c>
      <c r="O45" s="40">
        <v>4875</v>
      </c>
      <c r="P45" s="40">
        <v>5200</v>
      </c>
      <c r="Q45" s="40"/>
      <c r="R45" s="40"/>
      <c r="S45" s="40"/>
      <c r="T45" s="40"/>
      <c r="U45" s="38"/>
      <c r="V45" s="38"/>
      <c r="W45" s="38"/>
      <c r="X45" s="38"/>
      <c r="Y45" s="38"/>
      <c r="Z45" s="40"/>
      <c r="AA45" s="40"/>
      <c r="AB45" s="40"/>
      <c r="AC45" s="38" t="s">
        <v>503</v>
      </c>
      <c r="AK45" s="32"/>
      <c r="AL45" s="32"/>
    </row>
    <row r="46" spans="1:38" s="35" customFormat="1" ht="33" customHeight="1" x14ac:dyDescent="0.25">
      <c r="A46" s="47">
        <v>4</v>
      </c>
      <c r="B46" s="108" t="s">
        <v>366</v>
      </c>
      <c r="C46" s="47"/>
      <c r="D46" s="61"/>
      <c r="E46" s="61"/>
      <c r="F46" s="47"/>
      <c r="G46" s="47"/>
      <c r="H46" s="47"/>
      <c r="I46" s="47"/>
      <c r="J46" s="49">
        <f>J47</f>
        <v>6</v>
      </c>
      <c r="K46" s="49"/>
      <c r="L46" s="47"/>
      <c r="M46" s="47"/>
      <c r="N46" s="39">
        <f>N47</f>
        <v>9300</v>
      </c>
      <c r="O46" s="39">
        <f>O47</f>
        <v>4500</v>
      </c>
      <c r="P46" s="39">
        <f>P47</f>
        <v>4800</v>
      </c>
      <c r="Q46" s="39"/>
      <c r="R46" s="39"/>
      <c r="S46" s="39"/>
      <c r="T46" s="39"/>
      <c r="U46" s="47"/>
      <c r="V46" s="47"/>
      <c r="W46" s="47"/>
      <c r="X46" s="47"/>
      <c r="Y46" s="47"/>
      <c r="Z46" s="39"/>
      <c r="AA46" s="39"/>
      <c r="AB46" s="39"/>
      <c r="AC46" s="47"/>
      <c r="AK46" s="33"/>
      <c r="AL46" s="33"/>
    </row>
    <row r="47" spans="1:38" ht="57" customHeight="1" x14ac:dyDescent="0.25">
      <c r="A47" s="38"/>
      <c r="B47" s="109" t="s">
        <v>212</v>
      </c>
      <c r="C47" s="38" t="s">
        <v>213</v>
      </c>
      <c r="D47" s="52" t="s">
        <v>23</v>
      </c>
      <c r="E47" s="52" t="s">
        <v>202</v>
      </c>
      <c r="F47" s="38"/>
      <c r="G47" s="38" t="s">
        <v>325</v>
      </c>
      <c r="H47" s="38"/>
      <c r="I47" s="38" t="s">
        <v>384</v>
      </c>
      <c r="J47" s="57">
        <v>6</v>
      </c>
      <c r="K47" s="57"/>
      <c r="L47" s="38" t="s">
        <v>172</v>
      </c>
      <c r="M47" s="38"/>
      <c r="N47" s="40">
        <f>O47+P47</f>
        <v>9300</v>
      </c>
      <c r="O47" s="40">
        <v>4500</v>
      </c>
      <c r="P47" s="40">
        <v>4800</v>
      </c>
      <c r="Q47" s="40"/>
      <c r="R47" s="40"/>
      <c r="S47" s="40"/>
      <c r="T47" s="40"/>
      <c r="U47" s="38"/>
      <c r="V47" s="38"/>
      <c r="W47" s="38"/>
      <c r="X47" s="38"/>
      <c r="Y47" s="38"/>
      <c r="Z47" s="40"/>
      <c r="AA47" s="40"/>
      <c r="AB47" s="40"/>
      <c r="AC47" s="38" t="s">
        <v>503</v>
      </c>
      <c r="AK47" s="32"/>
      <c r="AL47" s="32"/>
    </row>
    <row r="48" spans="1:38" s="35" customFormat="1" ht="36" customHeight="1" x14ac:dyDescent="0.25">
      <c r="A48" s="47">
        <v>5</v>
      </c>
      <c r="B48" s="110" t="s">
        <v>367</v>
      </c>
      <c r="C48" s="47"/>
      <c r="D48" s="61"/>
      <c r="E48" s="61"/>
      <c r="F48" s="47"/>
      <c r="G48" s="47"/>
      <c r="H48" s="47"/>
      <c r="I48" s="47"/>
      <c r="J48" s="49">
        <f>J49+J50+J51</f>
        <v>19</v>
      </c>
      <c r="K48" s="49"/>
      <c r="L48" s="47"/>
      <c r="M48" s="47"/>
      <c r="N48" s="39">
        <f>N49+N50+N51</f>
        <v>29450</v>
      </c>
      <c r="O48" s="39">
        <f>O49+O50+O51</f>
        <v>14250</v>
      </c>
      <c r="P48" s="39">
        <f>P49+P50+P51</f>
        <v>15200</v>
      </c>
      <c r="Q48" s="39"/>
      <c r="R48" s="39"/>
      <c r="S48" s="39"/>
      <c r="T48" s="39"/>
      <c r="U48" s="47"/>
      <c r="V48" s="47"/>
      <c r="W48" s="47"/>
      <c r="X48" s="47"/>
      <c r="Y48" s="47"/>
      <c r="Z48" s="39"/>
      <c r="AA48" s="39"/>
      <c r="AB48" s="39"/>
      <c r="AC48" s="47"/>
      <c r="AK48" s="33"/>
      <c r="AL48" s="33"/>
    </row>
    <row r="49" spans="1:38" ht="55.5" customHeight="1" x14ac:dyDescent="0.25">
      <c r="A49" s="38"/>
      <c r="B49" s="111" t="s">
        <v>214</v>
      </c>
      <c r="C49" s="38" t="s">
        <v>215</v>
      </c>
      <c r="D49" s="52" t="s">
        <v>23</v>
      </c>
      <c r="E49" s="52" t="s">
        <v>202</v>
      </c>
      <c r="F49" s="38"/>
      <c r="G49" s="38" t="s">
        <v>324</v>
      </c>
      <c r="H49" s="38"/>
      <c r="I49" s="38" t="s">
        <v>384</v>
      </c>
      <c r="J49" s="57">
        <v>6.5</v>
      </c>
      <c r="K49" s="57"/>
      <c r="L49" s="296" t="s">
        <v>216</v>
      </c>
      <c r="M49" s="38"/>
      <c r="N49" s="40">
        <f>O49+P49</f>
        <v>10075</v>
      </c>
      <c r="O49" s="40">
        <v>4875</v>
      </c>
      <c r="P49" s="40">
        <v>5200</v>
      </c>
      <c r="Q49" s="40"/>
      <c r="R49" s="40"/>
      <c r="S49" s="40"/>
      <c r="T49" s="40"/>
      <c r="U49" s="38"/>
      <c r="V49" s="38"/>
      <c r="W49" s="38"/>
      <c r="X49" s="38"/>
      <c r="Y49" s="38"/>
      <c r="Z49" s="40"/>
      <c r="AA49" s="40"/>
      <c r="AB49" s="40"/>
      <c r="AC49" s="38" t="s">
        <v>503</v>
      </c>
      <c r="AK49" s="32"/>
      <c r="AL49" s="32"/>
    </row>
    <row r="50" spans="1:38" ht="48" customHeight="1" x14ac:dyDescent="0.25">
      <c r="A50" s="38"/>
      <c r="B50" s="111" t="s">
        <v>217</v>
      </c>
      <c r="C50" s="38" t="s">
        <v>218</v>
      </c>
      <c r="D50" s="52" t="s">
        <v>23</v>
      </c>
      <c r="E50" s="52" t="s">
        <v>202</v>
      </c>
      <c r="F50" s="38"/>
      <c r="G50" s="38" t="s">
        <v>324</v>
      </c>
      <c r="H50" s="38"/>
      <c r="I50" s="38" t="s">
        <v>384</v>
      </c>
      <c r="J50" s="57">
        <v>6.5</v>
      </c>
      <c r="K50" s="57"/>
      <c r="L50" s="296"/>
      <c r="M50" s="38"/>
      <c r="N50" s="40">
        <f>O50+P50</f>
        <v>10075</v>
      </c>
      <c r="O50" s="40">
        <v>4875</v>
      </c>
      <c r="P50" s="40">
        <v>5200</v>
      </c>
      <c r="Q50" s="40"/>
      <c r="R50" s="40"/>
      <c r="S50" s="40"/>
      <c r="T50" s="40"/>
      <c r="U50" s="38"/>
      <c r="V50" s="38"/>
      <c r="W50" s="38"/>
      <c r="X50" s="38"/>
      <c r="Y50" s="38"/>
      <c r="Z50" s="40"/>
      <c r="AA50" s="40"/>
      <c r="AB50" s="40"/>
      <c r="AC50" s="38" t="s">
        <v>503</v>
      </c>
      <c r="AK50" s="32"/>
      <c r="AL50" s="32"/>
    </row>
    <row r="51" spans="1:38" ht="69" customHeight="1" x14ac:dyDescent="0.25">
      <c r="A51" s="38"/>
      <c r="B51" s="111" t="s">
        <v>219</v>
      </c>
      <c r="C51" s="38" t="s">
        <v>220</v>
      </c>
      <c r="D51" s="52" t="s">
        <v>23</v>
      </c>
      <c r="E51" s="52" t="s">
        <v>202</v>
      </c>
      <c r="F51" s="38"/>
      <c r="G51" s="38" t="s">
        <v>325</v>
      </c>
      <c r="H51" s="38"/>
      <c r="I51" s="38" t="s">
        <v>384</v>
      </c>
      <c r="J51" s="57">
        <v>6</v>
      </c>
      <c r="K51" s="57"/>
      <c r="L51" s="296"/>
      <c r="M51" s="38"/>
      <c r="N51" s="40">
        <f>O51+P51</f>
        <v>9300</v>
      </c>
      <c r="O51" s="40">
        <v>4500</v>
      </c>
      <c r="P51" s="40">
        <v>4800</v>
      </c>
      <c r="Q51" s="40"/>
      <c r="R51" s="40"/>
      <c r="S51" s="40"/>
      <c r="T51" s="40"/>
      <c r="U51" s="38"/>
      <c r="V51" s="38"/>
      <c r="W51" s="38"/>
      <c r="X51" s="38"/>
      <c r="Y51" s="38"/>
      <c r="Z51" s="40"/>
      <c r="AA51" s="40"/>
      <c r="AB51" s="40"/>
      <c r="AC51" s="38" t="s">
        <v>503</v>
      </c>
      <c r="AK51" s="32"/>
      <c r="AL51" s="32"/>
    </row>
    <row r="52" spans="1:38" s="35" customFormat="1" ht="364.5" customHeight="1" x14ac:dyDescent="0.25">
      <c r="A52" s="112" t="s">
        <v>265</v>
      </c>
      <c r="B52" s="113" t="s">
        <v>480</v>
      </c>
      <c r="C52" s="112"/>
      <c r="D52" s="112"/>
      <c r="E52" s="112"/>
      <c r="F52" s="112"/>
      <c r="G52" s="112"/>
      <c r="H52" s="112"/>
      <c r="I52" s="112"/>
      <c r="J52" s="114"/>
      <c r="K52" s="115">
        <f>56.96+18</f>
        <v>74.960000000000008</v>
      </c>
      <c r="L52" s="112"/>
      <c r="M52" s="112"/>
      <c r="N52" s="41"/>
      <c r="O52" s="41"/>
      <c r="P52" s="41"/>
      <c r="Q52" s="41"/>
      <c r="R52" s="41"/>
      <c r="S52" s="41"/>
      <c r="T52" s="41"/>
      <c r="U52" s="112"/>
      <c r="V52" s="112"/>
      <c r="W52" s="112"/>
      <c r="X52" s="112"/>
      <c r="Y52" s="112"/>
      <c r="Z52" s="41"/>
      <c r="AA52" s="41"/>
      <c r="AB52" s="41"/>
      <c r="AC52" s="86" t="s">
        <v>526</v>
      </c>
      <c r="AK52" s="33"/>
      <c r="AL52" s="33"/>
    </row>
  </sheetData>
  <mergeCells count="38">
    <mergeCell ref="AA5:AA7"/>
    <mergeCell ref="X3:AA4"/>
    <mergeCell ref="A1:AC1"/>
    <mergeCell ref="R2:AC2"/>
    <mergeCell ref="A3:A7"/>
    <mergeCell ref="B3:B7"/>
    <mergeCell ref="C3:C7"/>
    <mergeCell ref="D3:D7"/>
    <mergeCell ref="E3:E7"/>
    <mergeCell ref="F3:F7"/>
    <mergeCell ref="G3:H4"/>
    <mergeCell ref="AB3:AB7"/>
    <mergeCell ref="G5:G7"/>
    <mergeCell ref="H5:H7"/>
    <mergeCell ref="I3:I7"/>
    <mergeCell ref="J3:J7"/>
    <mergeCell ref="K3:K7"/>
    <mergeCell ref="AC3:AC7"/>
    <mergeCell ref="Y5:Y7"/>
    <mergeCell ref="Z5:Z7"/>
    <mergeCell ref="S5:S7"/>
    <mergeCell ref="R3:R7"/>
    <mergeCell ref="S3:W4"/>
    <mergeCell ref="X5:X7"/>
    <mergeCell ref="Q3:Q7"/>
    <mergeCell ref="O6:O7"/>
    <mergeCell ref="P6:P7"/>
    <mergeCell ref="O5:P5"/>
    <mergeCell ref="N3:P4"/>
    <mergeCell ref="T5:V7"/>
    <mergeCell ref="W5:W7"/>
    <mergeCell ref="N5:N7"/>
    <mergeCell ref="L49:L51"/>
    <mergeCell ref="L13:L14"/>
    <mergeCell ref="L39:L40"/>
    <mergeCell ref="L44:L45"/>
    <mergeCell ref="M3:M7"/>
    <mergeCell ref="L3:L7"/>
  </mergeCells>
  <printOptions horizontalCentered="1"/>
  <pageMargins left="0.196850393700787" right="0.196850393700787" top="0.35433070866141703" bottom="0.35433070866141703" header="0.31496062992126" footer="0.31496062992126"/>
  <pageSetup paperSize="9" scale="50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0"/>
  <sheetViews>
    <sheetView zoomScale="70" zoomScaleNormal="70" workbookViewId="0">
      <pane xSplit="7" ySplit="8" topLeftCell="H9" activePane="bottomRight" state="frozen"/>
      <selection pane="topRight" activeCell="H1" sqref="H1"/>
      <selection pane="bottomLeft" activeCell="A10" sqref="A10"/>
      <selection pane="bottomRight" activeCell="E9" sqref="E9"/>
    </sheetView>
  </sheetViews>
  <sheetFormatPr defaultColWidth="9" defaultRowHeight="15" x14ac:dyDescent="0.25"/>
  <cols>
    <col min="1" max="1" width="5.375" style="152" customWidth="1"/>
    <col min="2" max="2" width="23.375" style="153" customWidth="1"/>
    <col min="3" max="3" width="16" style="152" customWidth="1"/>
    <col min="4" max="4" width="8" style="152" customWidth="1"/>
    <col min="5" max="5" width="10" style="152" customWidth="1"/>
    <col min="6" max="6" width="12.125" style="152" customWidth="1"/>
    <col min="7" max="7" width="8.75" style="152" customWidth="1"/>
    <col min="8" max="8" width="10" style="152" customWidth="1"/>
    <col min="9" max="9" width="10.875" style="152" customWidth="1"/>
    <col min="10" max="10" width="15.875" style="152" hidden="1" customWidth="1"/>
    <col min="11" max="11" width="14.25" style="152" hidden="1" customWidth="1"/>
    <col min="12" max="17" width="10.375" style="152" hidden="1" customWidth="1"/>
    <col min="18" max="18" width="9.75" style="152" customWidth="1"/>
    <col min="19" max="19" width="10.25" style="152" customWidth="1"/>
    <col min="20" max="20" width="8.875" style="152" customWidth="1"/>
    <col min="21" max="21" width="8.125" style="152" bestFit="1" customWidth="1"/>
    <col min="22" max="22" width="9.25" style="152" customWidth="1"/>
    <col min="23" max="23" width="7.75" style="152" customWidth="1"/>
    <col min="24" max="24" width="10.125" style="152" customWidth="1"/>
    <col min="25" max="25" width="8.25" style="152" customWidth="1"/>
    <col min="26" max="26" width="7.75" style="152" hidden="1" customWidth="1"/>
    <col min="27" max="27" width="8.5" style="152" hidden="1" customWidth="1"/>
    <col min="28" max="28" width="8.625" style="152" customWidth="1"/>
    <col min="29" max="29" width="10.125" style="152" customWidth="1"/>
    <col min="30" max="30" width="11.625" style="152" hidden="1" customWidth="1"/>
    <col min="31" max="31" width="9.5" style="152" hidden="1" customWidth="1"/>
    <col min="32" max="32" width="10.75" style="152" customWidth="1"/>
    <col min="33" max="33" width="9.5" style="152" customWidth="1"/>
    <col min="34" max="34" width="24.75" style="152" customWidth="1"/>
    <col min="35" max="35" width="18.875" style="152" customWidth="1"/>
    <col min="36" max="36" width="9" style="152" customWidth="1"/>
    <col min="37" max="37" width="8" style="152" customWidth="1"/>
    <col min="38" max="38" width="10.25" style="152" customWidth="1"/>
    <col min="39" max="39" width="9.5" style="152" customWidth="1"/>
    <col min="40" max="40" width="11" style="152" customWidth="1"/>
    <col min="41" max="41" width="9" style="152"/>
    <col min="42" max="42" width="11.5" style="152" customWidth="1"/>
    <col min="43" max="16384" width="9" style="152"/>
  </cols>
  <sheetData>
    <row r="1" spans="1:43" s="151" customFormat="1" ht="49.5" customHeight="1" x14ac:dyDescent="0.25">
      <c r="A1" s="259" t="s">
        <v>535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</row>
    <row r="2" spans="1:43" ht="15.75" customHeight="1" x14ac:dyDescent="0.25">
      <c r="W2" s="292" t="s">
        <v>2</v>
      </c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</row>
    <row r="3" spans="1:43" s="151" customFormat="1" ht="22.5" customHeight="1" x14ac:dyDescent="0.25">
      <c r="A3" s="282" t="s">
        <v>3</v>
      </c>
      <c r="B3" s="282" t="s">
        <v>4</v>
      </c>
      <c r="C3" s="282" t="s">
        <v>5</v>
      </c>
      <c r="D3" s="282" t="s">
        <v>6</v>
      </c>
      <c r="E3" s="282" t="s">
        <v>7</v>
      </c>
      <c r="F3" s="282" t="s">
        <v>10</v>
      </c>
      <c r="G3" s="282" t="s">
        <v>382</v>
      </c>
      <c r="H3" s="282" t="s">
        <v>409</v>
      </c>
      <c r="I3" s="282" t="s">
        <v>410</v>
      </c>
      <c r="J3" s="282" t="s">
        <v>8</v>
      </c>
      <c r="K3" s="282"/>
      <c r="L3" s="282"/>
      <c r="M3" s="282"/>
      <c r="N3" s="154"/>
      <c r="O3" s="154"/>
      <c r="P3" s="154"/>
      <c r="Q3" s="154"/>
      <c r="R3" s="282" t="s">
        <v>9</v>
      </c>
      <c r="S3" s="282" t="s">
        <v>427</v>
      </c>
      <c r="T3" s="282" t="s">
        <v>11</v>
      </c>
      <c r="U3" s="282"/>
      <c r="V3" s="282"/>
      <c r="W3" s="282"/>
      <c r="X3" s="282" t="s">
        <v>378</v>
      </c>
      <c r="Y3" s="282" t="s">
        <v>300</v>
      </c>
      <c r="Z3" s="282"/>
      <c r="AA3" s="282"/>
      <c r="AB3" s="282"/>
      <c r="AC3" s="282" t="s">
        <v>443</v>
      </c>
      <c r="AD3" s="282"/>
      <c r="AE3" s="282"/>
      <c r="AF3" s="282"/>
      <c r="AG3" s="282" t="s">
        <v>392</v>
      </c>
      <c r="AH3" s="282" t="s">
        <v>333</v>
      </c>
    </row>
    <row r="4" spans="1:43" s="151" customFormat="1" ht="14.25" customHeight="1" x14ac:dyDescent="0.25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154"/>
      <c r="O4" s="154"/>
      <c r="P4" s="154"/>
      <c r="Q4" s="154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</row>
    <row r="5" spans="1:43" s="151" customFormat="1" ht="18.75" customHeight="1" x14ac:dyDescent="0.25">
      <c r="A5" s="282"/>
      <c r="B5" s="282"/>
      <c r="C5" s="282"/>
      <c r="D5" s="282"/>
      <c r="E5" s="282"/>
      <c r="F5" s="282"/>
      <c r="G5" s="282"/>
      <c r="H5" s="282"/>
      <c r="I5" s="282"/>
      <c r="J5" s="282" t="s">
        <v>297</v>
      </c>
      <c r="K5" s="282" t="s">
        <v>355</v>
      </c>
      <c r="L5" s="282" t="s">
        <v>368</v>
      </c>
      <c r="M5" s="282" t="s">
        <v>369</v>
      </c>
      <c r="N5" s="154"/>
      <c r="O5" s="154"/>
      <c r="P5" s="154"/>
      <c r="Q5" s="154"/>
      <c r="R5" s="282"/>
      <c r="S5" s="282"/>
      <c r="T5" s="282" t="s">
        <v>12</v>
      </c>
      <c r="U5" s="282" t="s">
        <v>13</v>
      </c>
      <c r="V5" s="282"/>
      <c r="W5" s="282"/>
      <c r="X5" s="282"/>
      <c r="Y5" s="282" t="s">
        <v>12</v>
      </c>
      <c r="Z5" s="282" t="s">
        <v>493</v>
      </c>
      <c r="AA5" s="282"/>
      <c r="AB5" s="282" t="s">
        <v>481</v>
      </c>
      <c r="AC5" s="282" t="s">
        <v>501</v>
      </c>
      <c r="AD5" s="282" t="s">
        <v>444</v>
      </c>
      <c r="AE5" s="282" t="s">
        <v>494</v>
      </c>
      <c r="AF5" s="282" t="s">
        <v>482</v>
      </c>
      <c r="AG5" s="282"/>
      <c r="AH5" s="282"/>
    </row>
    <row r="6" spans="1:43" s="151" customFormat="1" ht="15.75" customHeight="1" x14ac:dyDescent="0.25">
      <c r="A6" s="282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154"/>
      <c r="O6" s="154"/>
      <c r="P6" s="154"/>
      <c r="Q6" s="154"/>
      <c r="R6" s="282"/>
      <c r="S6" s="282"/>
      <c r="T6" s="282"/>
      <c r="U6" s="282" t="s">
        <v>14</v>
      </c>
      <c r="V6" s="282" t="s">
        <v>16</v>
      </c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</row>
    <row r="7" spans="1:43" s="151" customFormat="1" ht="66" customHeight="1" x14ac:dyDescent="0.25">
      <c r="A7" s="282"/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154"/>
      <c r="O7" s="154"/>
      <c r="P7" s="154"/>
      <c r="Q7" s="154"/>
      <c r="R7" s="282"/>
      <c r="S7" s="282"/>
      <c r="T7" s="282"/>
      <c r="U7" s="282"/>
      <c r="V7" s="154" t="s">
        <v>17</v>
      </c>
      <c r="W7" s="154" t="s">
        <v>18</v>
      </c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</row>
    <row r="8" spans="1:43" s="151" customFormat="1" ht="30" customHeight="1" x14ac:dyDescent="0.25">
      <c r="A8" s="158"/>
      <c r="B8" s="158" t="s">
        <v>19</v>
      </c>
      <c r="C8" s="158"/>
      <c r="D8" s="158"/>
      <c r="E8" s="158"/>
      <c r="F8" s="158"/>
      <c r="G8" s="158"/>
      <c r="H8" s="160">
        <f>H9+H22</f>
        <v>70</v>
      </c>
      <c r="I8" s="160">
        <f>I9+I22+I40</f>
        <v>168.9</v>
      </c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61">
        <f t="shared" ref="T8:Y8" si="0">T9+T22</f>
        <v>108500</v>
      </c>
      <c r="U8" s="161">
        <f t="shared" si="0"/>
        <v>59700</v>
      </c>
      <c r="V8" s="161">
        <f t="shared" si="0"/>
        <v>48800</v>
      </c>
      <c r="W8" s="161">
        <f t="shared" si="0"/>
        <v>0</v>
      </c>
      <c r="X8" s="161">
        <f t="shared" si="0"/>
        <v>10850</v>
      </c>
      <c r="Y8" s="161">
        <f t="shared" si="0"/>
        <v>7816</v>
      </c>
      <c r="Z8" s="161">
        <f t="shared" ref="Z8:AF8" si="1">Z9+Z22</f>
        <v>2451</v>
      </c>
      <c r="AA8" s="161">
        <f t="shared" si="1"/>
        <v>3569</v>
      </c>
      <c r="AB8" s="161">
        <f t="shared" si="1"/>
        <v>1796</v>
      </c>
      <c r="AC8" s="161">
        <f t="shared" si="1"/>
        <v>7814.5490000000009</v>
      </c>
      <c r="AD8" s="161">
        <f t="shared" si="1"/>
        <v>1705</v>
      </c>
      <c r="AE8" s="161">
        <f t="shared" si="1"/>
        <v>4314.5680000000002</v>
      </c>
      <c r="AF8" s="161">
        <f t="shared" si="1"/>
        <v>1794.9810000000002</v>
      </c>
      <c r="AG8" s="161">
        <f t="shared" ref="AG8" si="2">AG9+AG22</f>
        <v>0</v>
      </c>
      <c r="AH8" s="196"/>
      <c r="AI8" s="163"/>
      <c r="AJ8" s="163"/>
      <c r="AK8" s="163"/>
      <c r="AL8" s="163"/>
      <c r="AM8" s="163"/>
      <c r="AN8" s="197"/>
    </row>
    <row r="9" spans="1:43" s="151" customFormat="1" ht="34.5" customHeight="1" x14ac:dyDescent="0.25">
      <c r="A9" s="173" t="s">
        <v>0</v>
      </c>
      <c r="B9" s="198" t="s">
        <v>407</v>
      </c>
      <c r="C9" s="173"/>
      <c r="D9" s="173"/>
      <c r="E9" s="173"/>
      <c r="F9" s="173"/>
      <c r="G9" s="173"/>
      <c r="H9" s="177">
        <f>H10+H12+H14+H16+H18+H20</f>
        <v>9</v>
      </c>
      <c r="I9" s="173">
        <f>I10+I12+I14+I16+I18+I20</f>
        <v>7.4</v>
      </c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8">
        <f>T10+T12+T14+T16+T18+T20</f>
        <v>13950</v>
      </c>
      <c r="U9" s="178">
        <f>U10+U12+U14+U16+U18+U20</f>
        <v>13950</v>
      </c>
      <c r="V9" s="178"/>
      <c r="W9" s="199"/>
      <c r="X9" s="178">
        <f>X10+X12+X14+X16+X18+X20</f>
        <v>10850</v>
      </c>
      <c r="Y9" s="178">
        <f>Y10+Y12+Y14+Y16+Y18+Y20</f>
        <v>7816</v>
      </c>
      <c r="Z9" s="178">
        <f t="shared" ref="Z9:AF9" si="3">Z10+Z12+Z14+Z16+Z18+Z20</f>
        <v>2451</v>
      </c>
      <c r="AA9" s="178">
        <f t="shared" si="3"/>
        <v>3569</v>
      </c>
      <c r="AB9" s="178">
        <f t="shared" si="3"/>
        <v>1796</v>
      </c>
      <c r="AC9" s="178">
        <f t="shared" si="3"/>
        <v>7814.5490000000009</v>
      </c>
      <c r="AD9" s="178">
        <f t="shared" si="3"/>
        <v>1705</v>
      </c>
      <c r="AE9" s="178">
        <f t="shared" si="3"/>
        <v>4314.5680000000002</v>
      </c>
      <c r="AF9" s="178">
        <f t="shared" si="3"/>
        <v>1794.9810000000002</v>
      </c>
      <c r="AG9" s="178">
        <f t="shared" ref="AG9" si="4">AG10+AG12+AG14+AG16+AG18+AG20</f>
        <v>0</v>
      </c>
      <c r="AH9" s="178"/>
      <c r="AN9" s="163"/>
      <c r="AP9" s="163"/>
      <c r="AQ9" s="163"/>
    </row>
    <row r="10" spans="1:43" s="151" customFormat="1" ht="30" customHeight="1" x14ac:dyDescent="0.25">
      <c r="A10" s="173">
        <v>1</v>
      </c>
      <c r="B10" s="198" t="s">
        <v>256</v>
      </c>
      <c r="C10" s="173"/>
      <c r="D10" s="173"/>
      <c r="E10" s="173"/>
      <c r="F10" s="173"/>
      <c r="G10" s="173"/>
      <c r="H10" s="173">
        <f>H11</f>
        <v>1.5</v>
      </c>
      <c r="I10" s="173">
        <f>I11</f>
        <v>1.7</v>
      </c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8">
        <f>T11</f>
        <v>2325</v>
      </c>
      <c r="U10" s="178">
        <f>U11</f>
        <v>2325</v>
      </c>
      <c r="V10" s="178"/>
      <c r="W10" s="199"/>
      <c r="X10" s="178">
        <f>X11</f>
        <v>2325</v>
      </c>
      <c r="Y10" s="178">
        <f>Y11</f>
        <v>2170</v>
      </c>
      <c r="Z10" s="178">
        <f t="shared" ref="Z10:AF10" si="5">Z11</f>
        <v>465</v>
      </c>
      <c r="AA10" s="178">
        <f t="shared" si="5"/>
        <v>1104</v>
      </c>
      <c r="AB10" s="178">
        <f t="shared" si="5"/>
        <v>601</v>
      </c>
      <c r="AC10" s="178">
        <f t="shared" si="5"/>
        <v>2169.2820000000002</v>
      </c>
      <c r="AD10" s="178">
        <f t="shared" si="5"/>
        <v>465</v>
      </c>
      <c r="AE10" s="178">
        <f t="shared" si="5"/>
        <v>1104</v>
      </c>
      <c r="AF10" s="178">
        <f t="shared" si="5"/>
        <v>600.28200000000004</v>
      </c>
      <c r="AG10" s="178">
        <f t="shared" ref="AG10" si="6">AG11</f>
        <v>0</v>
      </c>
      <c r="AH10" s="178"/>
      <c r="AJ10" s="163"/>
      <c r="AP10" s="163"/>
      <c r="AQ10" s="163"/>
    </row>
    <row r="11" spans="1:43" ht="57" customHeight="1" x14ac:dyDescent="0.25">
      <c r="A11" s="164"/>
      <c r="B11" s="200" t="s">
        <v>186</v>
      </c>
      <c r="C11" s="164" t="s">
        <v>187</v>
      </c>
      <c r="D11" s="166" t="s">
        <v>122</v>
      </c>
      <c r="E11" s="166" t="s">
        <v>24</v>
      </c>
      <c r="F11" s="164" t="s">
        <v>292</v>
      </c>
      <c r="G11" s="164" t="s">
        <v>384</v>
      </c>
      <c r="H11" s="164">
        <v>1.5</v>
      </c>
      <c r="I11" s="164">
        <v>1.7</v>
      </c>
      <c r="J11" s="164" t="s">
        <v>317</v>
      </c>
      <c r="K11" s="164" t="s">
        <v>377</v>
      </c>
      <c r="L11" s="164">
        <v>1.7</v>
      </c>
      <c r="M11" s="164">
        <v>1.5</v>
      </c>
      <c r="N11" s="164"/>
      <c r="O11" s="164"/>
      <c r="P11" s="164"/>
      <c r="Q11" s="164"/>
      <c r="R11" s="164" t="s">
        <v>188</v>
      </c>
      <c r="S11" s="164" t="s">
        <v>188</v>
      </c>
      <c r="T11" s="169">
        <f>U11+V11+W11</f>
        <v>2325</v>
      </c>
      <c r="U11" s="169">
        <v>2325</v>
      </c>
      <c r="V11" s="169"/>
      <c r="W11" s="169"/>
      <c r="X11" s="169">
        <f>U11</f>
        <v>2325</v>
      </c>
      <c r="Y11" s="169">
        <f>2325-155</f>
        <v>2170</v>
      </c>
      <c r="Z11" s="169">
        <v>465</v>
      </c>
      <c r="AA11" s="164">
        <v>1104</v>
      </c>
      <c r="AB11" s="169">
        <f>756-155</f>
        <v>601</v>
      </c>
      <c r="AC11" s="201">
        <v>2169.2820000000002</v>
      </c>
      <c r="AD11" s="169">
        <v>465</v>
      </c>
      <c r="AE11" s="169">
        <v>1104</v>
      </c>
      <c r="AF11" s="169">
        <v>600.28200000000004</v>
      </c>
      <c r="AG11" s="169">
        <v>0</v>
      </c>
      <c r="AH11" s="171" t="s">
        <v>485</v>
      </c>
      <c r="AI11" s="202"/>
      <c r="AJ11" s="172"/>
      <c r="AK11" s="172"/>
      <c r="AP11" s="172"/>
      <c r="AQ11" s="172"/>
    </row>
    <row r="12" spans="1:43" s="151" customFormat="1" ht="30" customHeight="1" x14ac:dyDescent="0.25">
      <c r="A12" s="173">
        <v>2</v>
      </c>
      <c r="B12" s="203" t="s">
        <v>261</v>
      </c>
      <c r="C12" s="173"/>
      <c r="D12" s="175"/>
      <c r="E12" s="175"/>
      <c r="F12" s="173"/>
      <c r="G12" s="173"/>
      <c r="H12" s="173">
        <f>H13</f>
        <v>1.5</v>
      </c>
      <c r="I12" s="173">
        <f>I13</f>
        <v>3.2</v>
      </c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8">
        <f>T13</f>
        <v>2325</v>
      </c>
      <c r="U12" s="178">
        <f>U13</f>
        <v>2325</v>
      </c>
      <c r="V12" s="178"/>
      <c r="W12" s="178"/>
      <c r="X12" s="178">
        <f>X13</f>
        <v>2325</v>
      </c>
      <c r="Y12" s="178">
        <f>Y13</f>
        <v>1831</v>
      </c>
      <c r="Z12" s="178">
        <f t="shared" ref="Z12:AF12" si="7">Z13</f>
        <v>1211</v>
      </c>
      <c r="AA12" s="178">
        <f t="shared" si="7"/>
        <v>465</v>
      </c>
      <c r="AB12" s="178">
        <f t="shared" si="7"/>
        <v>155</v>
      </c>
      <c r="AC12" s="178">
        <f t="shared" si="7"/>
        <v>1830.568</v>
      </c>
      <c r="AD12" s="178">
        <f t="shared" si="7"/>
        <v>465</v>
      </c>
      <c r="AE12" s="178">
        <f t="shared" si="7"/>
        <v>1210.568</v>
      </c>
      <c r="AF12" s="178">
        <f t="shared" si="7"/>
        <v>155</v>
      </c>
      <c r="AG12" s="178">
        <f t="shared" ref="AG12" si="8">AG13</f>
        <v>0</v>
      </c>
      <c r="AH12" s="178"/>
      <c r="AP12" s="163"/>
      <c r="AQ12" s="163"/>
    </row>
    <row r="13" spans="1:43" ht="70.5" customHeight="1" x14ac:dyDescent="0.25">
      <c r="A13" s="164"/>
      <c r="B13" s="204" t="s">
        <v>189</v>
      </c>
      <c r="C13" s="164" t="s">
        <v>190</v>
      </c>
      <c r="D13" s="166" t="s">
        <v>122</v>
      </c>
      <c r="E13" s="166" t="s">
        <v>24</v>
      </c>
      <c r="F13" s="164" t="s">
        <v>293</v>
      </c>
      <c r="G13" s="164" t="s">
        <v>384</v>
      </c>
      <c r="H13" s="164">
        <v>1.5</v>
      </c>
      <c r="I13" s="164">
        <v>3.2</v>
      </c>
      <c r="J13" s="164" t="s">
        <v>317</v>
      </c>
      <c r="K13" s="164" t="s">
        <v>347</v>
      </c>
      <c r="L13" s="164">
        <v>3.2</v>
      </c>
      <c r="M13" s="164">
        <v>1.5</v>
      </c>
      <c r="N13" s="164"/>
      <c r="O13" s="164"/>
      <c r="P13" s="164"/>
      <c r="Q13" s="164"/>
      <c r="R13" s="164" t="s">
        <v>188</v>
      </c>
      <c r="S13" s="164" t="s">
        <v>465</v>
      </c>
      <c r="T13" s="169">
        <f>T11</f>
        <v>2325</v>
      </c>
      <c r="U13" s="169">
        <f>T13</f>
        <v>2325</v>
      </c>
      <c r="V13" s="169"/>
      <c r="W13" s="169"/>
      <c r="X13" s="169">
        <f>U13</f>
        <v>2325</v>
      </c>
      <c r="Y13" s="169">
        <f>SUM(Z13:AB13)</f>
        <v>1831</v>
      </c>
      <c r="Z13" s="169">
        <v>1211</v>
      </c>
      <c r="AA13" s="169">
        <v>465</v>
      </c>
      <c r="AB13" s="169">
        <v>155</v>
      </c>
      <c r="AC13" s="170">
        <v>1830.568</v>
      </c>
      <c r="AD13" s="169">
        <v>465</v>
      </c>
      <c r="AE13" s="169">
        <f>AC13-AD13-AF13</f>
        <v>1210.568</v>
      </c>
      <c r="AF13" s="169">
        <v>155</v>
      </c>
      <c r="AG13" s="169">
        <v>0</v>
      </c>
      <c r="AH13" s="171" t="s">
        <v>485</v>
      </c>
      <c r="AI13" s="164"/>
      <c r="AP13" s="172"/>
      <c r="AQ13" s="172"/>
    </row>
    <row r="14" spans="1:43" s="151" customFormat="1" ht="30.75" customHeight="1" x14ac:dyDescent="0.25">
      <c r="A14" s="173">
        <v>3</v>
      </c>
      <c r="B14" s="205" t="s">
        <v>266</v>
      </c>
      <c r="C14" s="173"/>
      <c r="D14" s="175"/>
      <c r="E14" s="175"/>
      <c r="F14" s="173"/>
      <c r="G14" s="173"/>
      <c r="H14" s="173">
        <f>H15</f>
        <v>1.5</v>
      </c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8">
        <f>T15</f>
        <v>2325</v>
      </c>
      <c r="U14" s="178">
        <f>U15</f>
        <v>2325</v>
      </c>
      <c r="V14" s="178"/>
      <c r="W14" s="178"/>
      <c r="X14" s="178">
        <f>X15</f>
        <v>2325</v>
      </c>
      <c r="Y14" s="178"/>
      <c r="Z14" s="178"/>
      <c r="AA14" s="178"/>
      <c r="AB14" s="178"/>
      <c r="AC14" s="178"/>
      <c r="AD14" s="178"/>
      <c r="AE14" s="178"/>
      <c r="AF14" s="178"/>
      <c r="AG14" s="178">
        <f>AG15</f>
        <v>0</v>
      </c>
      <c r="AH14" s="178"/>
      <c r="AP14" s="163"/>
      <c r="AQ14" s="163"/>
    </row>
    <row r="15" spans="1:43" ht="48.75" customHeight="1" x14ac:dyDescent="0.25">
      <c r="A15" s="164"/>
      <c r="B15" s="206" t="s">
        <v>191</v>
      </c>
      <c r="C15" s="164" t="s">
        <v>192</v>
      </c>
      <c r="D15" s="166" t="s">
        <v>122</v>
      </c>
      <c r="E15" s="166" t="s">
        <v>24</v>
      </c>
      <c r="F15" s="164"/>
      <c r="G15" s="164" t="s">
        <v>384</v>
      </c>
      <c r="H15" s="164">
        <v>1.5</v>
      </c>
      <c r="I15" s="164"/>
      <c r="J15" s="164" t="s">
        <v>317</v>
      </c>
      <c r="K15" s="164"/>
      <c r="L15" s="164"/>
      <c r="M15" s="164">
        <v>1.5</v>
      </c>
      <c r="N15" s="164"/>
      <c r="O15" s="164"/>
      <c r="P15" s="164"/>
      <c r="Q15" s="164"/>
      <c r="R15" s="164" t="s">
        <v>193</v>
      </c>
      <c r="S15" s="164"/>
      <c r="T15" s="169">
        <f>U15+V15+W15</f>
        <v>2325</v>
      </c>
      <c r="U15" s="169">
        <v>2325</v>
      </c>
      <c r="V15" s="169"/>
      <c r="W15" s="169"/>
      <c r="X15" s="169">
        <v>2325</v>
      </c>
      <c r="Y15" s="169"/>
      <c r="Z15" s="169"/>
      <c r="AA15" s="169"/>
      <c r="AB15" s="169"/>
      <c r="AC15" s="169"/>
      <c r="AD15" s="169"/>
      <c r="AE15" s="169"/>
      <c r="AF15" s="169"/>
      <c r="AG15" s="169"/>
      <c r="AH15" s="171" t="s">
        <v>503</v>
      </c>
      <c r="AP15" s="172"/>
      <c r="AQ15" s="172"/>
    </row>
    <row r="16" spans="1:43" s="151" customFormat="1" ht="29.25" customHeight="1" x14ac:dyDescent="0.25">
      <c r="A16" s="173">
        <v>4</v>
      </c>
      <c r="B16" s="207" t="s">
        <v>276</v>
      </c>
      <c r="C16" s="173"/>
      <c r="D16" s="175"/>
      <c r="E16" s="175"/>
      <c r="F16" s="173"/>
      <c r="G16" s="173"/>
      <c r="H16" s="173">
        <f>H17</f>
        <v>2.5</v>
      </c>
      <c r="I16" s="173">
        <f>I17</f>
        <v>2.5</v>
      </c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8">
        <f>T17</f>
        <v>3875</v>
      </c>
      <c r="U16" s="178">
        <f>U17</f>
        <v>3875</v>
      </c>
      <c r="V16" s="178"/>
      <c r="W16" s="178"/>
      <c r="X16" s="178">
        <f>X17</f>
        <v>3875</v>
      </c>
      <c r="Y16" s="178">
        <f>Y17</f>
        <v>3815</v>
      </c>
      <c r="Z16" s="178">
        <f t="shared" ref="Z16" si="9">Z17</f>
        <v>775</v>
      </c>
      <c r="AA16" s="178">
        <f t="shared" ref="AA16" si="10">AA17</f>
        <v>2000</v>
      </c>
      <c r="AB16" s="178">
        <f t="shared" ref="AB16" si="11">AB17</f>
        <v>1040</v>
      </c>
      <c r="AC16" s="178">
        <f t="shared" ref="AC16" si="12">AC17</f>
        <v>3814.6990000000001</v>
      </c>
      <c r="AD16" s="178">
        <f t="shared" ref="AD16" si="13">AD17</f>
        <v>775</v>
      </c>
      <c r="AE16" s="178">
        <f t="shared" ref="AE16" si="14">AE17</f>
        <v>2000</v>
      </c>
      <c r="AF16" s="178">
        <f t="shared" ref="AF16" si="15">AF17</f>
        <v>1039.6990000000001</v>
      </c>
      <c r="AG16" s="178">
        <f t="shared" ref="AG16" si="16">AG17</f>
        <v>0</v>
      </c>
      <c r="AH16" s="178"/>
      <c r="AP16" s="163"/>
      <c r="AQ16" s="163"/>
    </row>
    <row r="17" spans="1:43" ht="57" customHeight="1" x14ac:dyDescent="0.25">
      <c r="A17" s="164"/>
      <c r="B17" s="208" t="s">
        <v>194</v>
      </c>
      <c r="C17" s="164" t="s">
        <v>179</v>
      </c>
      <c r="D17" s="166" t="s">
        <v>122</v>
      </c>
      <c r="E17" s="166" t="s">
        <v>24</v>
      </c>
      <c r="F17" s="164" t="s">
        <v>294</v>
      </c>
      <c r="G17" s="164" t="s">
        <v>384</v>
      </c>
      <c r="H17" s="164">
        <v>2.5</v>
      </c>
      <c r="I17" s="164">
        <v>2.5</v>
      </c>
      <c r="J17" s="164" t="s">
        <v>310</v>
      </c>
      <c r="K17" s="164"/>
      <c r="L17" s="164">
        <v>2.5</v>
      </c>
      <c r="M17" s="164">
        <v>2.5</v>
      </c>
      <c r="N17" s="164"/>
      <c r="O17" s="164"/>
      <c r="P17" s="164"/>
      <c r="Q17" s="164"/>
      <c r="R17" s="164" t="s">
        <v>195</v>
      </c>
      <c r="S17" s="164" t="s">
        <v>195</v>
      </c>
      <c r="T17" s="169">
        <f>U17+V17+W17</f>
        <v>3875</v>
      </c>
      <c r="U17" s="169">
        <v>3875</v>
      </c>
      <c r="V17" s="169"/>
      <c r="W17" s="169"/>
      <c r="X17" s="169">
        <f>U17</f>
        <v>3875</v>
      </c>
      <c r="Y17" s="169">
        <f>3875-60</f>
        <v>3815</v>
      </c>
      <c r="Z17" s="169">
        <v>775</v>
      </c>
      <c r="AA17" s="169">
        <v>2000</v>
      </c>
      <c r="AB17" s="169">
        <f>1100-60</f>
        <v>1040</v>
      </c>
      <c r="AC17" s="170">
        <f>SUM(AD17:AF17)</f>
        <v>3814.6990000000001</v>
      </c>
      <c r="AD17" s="169">
        <v>775</v>
      </c>
      <c r="AE17" s="169">
        <v>2000</v>
      </c>
      <c r="AF17" s="169">
        <v>1039.6990000000001</v>
      </c>
      <c r="AG17" s="169">
        <v>0</v>
      </c>
      <c r="AH17" s="171" t="s">
        <v>485</v>
      </c>
      <c r="AI17" s="209"/>
      <c r="AP17" s="172"/>
      <c r="AQ17" s="172"/>
    </row>
    <row r="18" spans="1:43" s="151" customFormat="1" ht="34.5" customHeight="1" x14ac:dyDescent="0.25">
      <c r="A18" s="173">
        <v>5</v>
      </c>
      <c r="B18" s="210" t="s">
        <v>395</v>
      </c>
      <c r="C18" s="173"/>
      <c r="D18" s="175"/>
      <c r="E18" s="175"/>
      <c r="F18" s="173"/>
      <c r="G18" s="173"/>
      <c r="H18" s="173">
        <f>H19</f>
        <v>1</v>
      </c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8">
        <f>T19</f>
        <v>1550</v>
      </c>
      <c r="U18" s="178">
        <f>U19</f>
        <v>1550</v>
      </c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85"/>
      <c r="AP18" s="163"/>
      <c r="AQ18" s="163"/>
    </row>
    <row r="19" spans="1:43" ht="65.25" customHeight="1" x14ac:dyDescent="0.25">
      <c r="A19" s="164"/>
      <c r="B19" s="211" t="s">
        <v>334</v>
      </c>
      <c r="C19" s="164" t="s">
        <v>182</v>
      </c>
      <c r="D19" s="166" t="s">
        <v>122</v>
      </c>
      <c r="E19" s="166" t="s">
        <v>24</v>
      </c>
      <c r="F19" s="164"/>
      <c r="G19" s="164" t="s">
        <v>384</v>
      </c>
      <c r="H19" s="164">
        <v>1</v>
      </c>
      <c r="I19" s="164"/>
      <c r="J19" s="164" t="s">
        <v>321</v>
      </c>
      <c r="K19" s="164"/>
      <c r="L19" s="164"/>
      <c r="M19" s="164">
        <v>1</v>
      </c>
      <c r="N19" s="164"/>
      <c r="O19" s="164"/>
      <c r="P19" s="164"/>
      <c r="Q19" s="164"/>
      <c r="R19" s="164" t="s">
        <v>196</v>
      </c>
      <c r="S19" s="164"/>
      <c r="T19" s="169">
        <f>U19+V19+W19</f>
        <v>1550</v>
      </c>
      <c r="U19" s="169">
        <v>1550</v>
      </c>
      <c r="V19" s="169"/>
      <c r="W19" s="169"/>
      <c r="X19" s="169"/>
      <c r="Y19" s="178"/>
      <c r="Z19" s="169"/>
      <c r="AA19" s="164"/>
      <c r="AB19" s="164"/>
      <c r="AC19" s="164"/>
      <c r="AD19" s="164"/>
      <c r="AE19" s="164"/>
      <c r="AF19" s="169"/>
      <c r="AG19" s="169"/>
      <c r="AH19" s="164" t="s">
        <v>335</v>
      </c>
      <c r="AP19" s="172"/>
      <c r="AQ19" s="172"/>
    </row>
    <row r="20" spans="1:43" s="151" customFormat="1" ht="34.5" customHeight="1" x14ac:dyDescent="0.25">
      <c r="A20" s="173">
        <v>6</v>
      </c>
      <c r="B20" s="212" t="s">
        <v>281</v>
      </c>
      <c r="C20" s="173"/>
      <c r="D20" s="175"/>
      <c r="E20" s="175"/>
      <c r="F20" s="173"/>
      <c r="G20" s="173"/>
      <c r="H20" s="173">
        <f>H21</f>
        <v>1</v>
      </c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8">
        <f>T21</f>
        <v>1550</v>
      </c>
      <c r="U20" s="178">
        <f>U21</f>
        <v>1550</v>
      </c>
      <c r="V20" s="178"/>
      <c r="W20" s="178"/>
      <c r="X20" s="178"/>
      <c r="Y20" s="178"/>
      <c r="Z20" s="178"/>
      <c r="AA20" s="173"/>
      <c r="AB20" s="173"/>
      <c r="AC20" s="173"/>
      <c r="AD20" s="173"/>
      <c r="AE20" s="173"/>
      <c r="AF20" s="178"/>
      <c r="AG20" s="178"/>
      <c r="AH20" s="173"/>
      <c r="AP20" s="163"/>
      <c r="AQ20" s="163"/>
    </row>
    <row r="21" spans="1:43" ht="64.5" customHeight="1" x14ac:dyDescent="0.25">
      <c r="A21" s="164"/>
      <c r="B21" s="213" t="s">
        <v>197</v>
      </c>
      <c r="C21" s="164" t="s">
        <v>198</v>
      </c>
      <c r="D21" s="166" t="s">
        <v>122</v>
      </c>
      <c r="E21" s="166" t="s">
        <v>24</v>
      </c>
      <c r="F21" s="164"/>
      <c r="G21" s="164" t="s">
        <v>384</v>
      </c>
      <c r="H21" s="164">
        <v>1</v>
      </c>
      <c r="I21" s="164"/>
      <c r="J21" s="164" t="s">
        <v>321</v>
      </c>
      <c r="K21" s="164"/>
      <c r="L21" s="164"/>
      <c r="M21" s="164">
        <v>1</v>
      </c>
      <c r="N21" s="164"/>
      <c r="O21" s="164"/>
      <c r="P21" s="164"/>
      <c r="Q21" s="164"/>
      <c r="R21" s="164" t="s">
        <v>196</v>
      </c>
      <c r="S21" s="164"/>
      <c r="T21" s="169">
        <f>U21+V21+W21</f>
        <v>1550</v>
      </c>
      <c r="U21" s="169">
        <v>1550</v>
      </c>
      <c r="V21" s="169"/>
      <c r="W21" s="169"/>
      <c r="X21" s="169"/>
      <c r="Y21" s="178"/>
      <c r="Z21" s="169"/>
      <c r="AA21" s="164"/>
      <c r="AB21" s="164"/>
      <c r="AC21" s="164"/>
      <c r="AD21" s="164"/>
      <c r="AE21" s="164"/>
      <c r="AF21" s="169"/>
      <c r="AG21" s="169"/>
      <c r="AH21" s="164" t="s">
        <v>503</v>
      </c>
      <c r="AP21" s="172"/>
      <c r="AQ21" s="172"/>
    </row>
    <row r="22" spans="1:43" s="151" customFormat="1" ht="39" customHeight="1" x14ac:dyDescent="0.25">
      <c r="A22" s="173" t="s">
        <v>1</v>
      </c>
      <c r="B22" s="198" t="s">
        <v>408</v>
      </c>
      <c r="C22" s="173"/>
      <c r="D22" s="173"/>
      <c r="E22" s="173"/>
      <c r="F22" s="173"/>
      <c r="G22" s="173"/>
      <c r="H22" s="177">
        <f>H23+H27+H31+H33+H37</f>
        <v>61</v>
      </c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8">
        <f>T23+T27+T31+T33+T37</f>
        <v>94550</v>
      </c>
      <c r="U22" s="178">
        <f>U23+U27+U31+U33+U37</f>
        <v>45750</v>
      </c>
      <c r="V22" s="178">
        <f>V23+V27+V31+V33+V37</f>
        <v>48800</v>
      </c>
      <c r="W22" s="178"/>
      <c r="X22" s="178"/>
      <c r="Y22" s="178"/>
      <c r="Z22" s="178"/>
      <c r="AA22" s="173"/>
      <c r="AB22" s="173"/>
      <c r="AC22" s="173"/>
      <c r="AD22" s="173"/>
      <c r="AE22" s="173"/>
      <c r="AF22" s="178"/>
      <c r="AG22" s="178"/>
      <c r="AH22" s="173"/>
      <c r="AP22" s="163"/>
      <c r="AQ22" s="163"/>
    </row>
    <row r="23" spans="1:43" s="151" customFormat="1" ht="30.75" customHeight="1" x14ac:dyDescent="0.25">
      <c r="A23" s="173">
        <v>1</v>
      </c>
      <c r="B23" s="198" t="s">
        <v>256</v>
      </c>
      <c r="C23" s="173"/>
      <c r="D23" s="173"/>
      <c r="E23" s="173"/>
      <c r="F23" s="173"/>
      <c r="G23" s="173"/>
      <c r="H23" s="173">
        <f>H24+H25+H26</f>
        <v>15.5</v>
      </c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8">
        <f>T24+T25+T26</f>
        <v>24025</v>
      </c>
      <c r="U23" s="178">
        <f>U24+U25+U26</f>
        <v>11625</v>
      </c>
      <c r="V23" s="178">
        <f>V24+V25+V26</f>
        <v>12400</v>
      </c>
      <c r="W23" s="178"/>
      <c r="X23" s="178"/>
      <c r="Y23" s="178"/>
      <c r="Z23" s="178"/>
      <c r="AA23" s="173"/>
      <c r="AB23" s="173"/>
      <c r="AC23" s="173"/>
      <c r="AD23" s="173"/>
      <c r="AE23" s="173"/>
      <c r="AF23" s="178"/>
      <c r="AG23" s="178"/>
      <c r="AH23" s="173"/>
      <c r="AP23" s="163"/>
      <c r="AQ23" s="163"/>
    </row>
    <row r="24" spans="1:43" ht="57" customHeight="1" x14ac:dyDescent="0.25">
      <c r="A24" s="164"/>
      <c r="B24" s="214" t="s">
        <v>221</v>
      </c>
      <c r="C24" s="164" t="s">
        <v>222</v>
      </c>
      <c r="D24" s="166" t="s">
        <v>122</v>
      </c>
      <c r="E24" s="166" t="s">
        <v>202</v>
      </c>
      <c r="F24" s="164"/>
      <c r="G24" s="164" t="s">
        <v>384</v>
      </c>
      <c r="H24" s="164">
        <v>5.5</v>
      </c>
      <c r="I24" s="164"/>
      <c r="J24" s="164" t="s">
        <v>315</v>
      </c>
      <c r="K24" s="164"/>
      <c r="L24" s="164"/>
      <c r="M24" s="164"/>
      <c r="N24" s="164"/>
      <c r="O24" s="164"/>
      <c r="P24" s="164"/>
      <c r="Q24" s="164"/>
      <c r="R24" s="297" t="s">
        <v>223</v>
      </c>
      <c r="S24" s="164"/>
      <c r="T24" s="169">
        <f>U24+V24+W24</f>
        <v>8525</v>
      </c>
      <c r="U24" s="169">
        <v>4125</v>
      </c>
      <c r="V24" s="169">
        <v>4400</v>
      </c>
      <c r="W24" s="169"/>
      <c r="X24" s="169"/>
      <c r="Y24" s="169"/>
      <c r="Z24" s="169"/>
      <c r="AA24" s="164"/>
      <c r="AB24" s="164"/>
      <c r="AC24" s="164"/>
      <c r="AD24" s="164"/>
      <c r="AE24" s="164"/>
      <c r="AF24" s="169"/>
      <c r="AG24" s="169"/>
      <c r="AH24" s="164" t="s">
        <v>503</v>
      </c>
      <c r="AP24" s="172"/>
      <c r="AQ24" s="172"/>
    </row>
    <row r="25" spans="1:43" ht="55.5" customHeight="1" x14ac:dyDescent="0.25">
      <c r="A25" s="164"/>
      <c r="B25" s="214" t="s">
        <v>224</v>
      </c>
      <c r="C25" s="164" t="s">
        <v>225</v>
      </c>
      <c r="D25" s="166" t="s">
        <v>122</v>
      </c>
      <c r="E25" s="166" t="s">
        <v>202</v>
      </c>
      <c r="F25" s="164"/>
      <c r="G25" s="164" t="s">
        <v>384</v>
      </c>
      <c r="H25" s="164">
        <v>5</v>
      </c>
      <c r="I25" s="164"/>
      <c r="J25" s="164" t="s">
        <v>323</v>
      </c>
      <c r="K25" s="164"/>
      <c r="L25" s="164"/>
      <c r="M25" s="164"/>
      <c r="N25" s="164"/>
      <c r="O25" s="164"/>
      <c r="P25" s="164"/>
      <c r="Q25" s="164"/>
      <c r="R25" s="297"/>
      <c r="S25" s="164"/>
      <c r="T25" s="169">
        <f>U25+V25+W25</f>
        <v>7750</v>
      </c>
      <c r="U25" s="169">
        <v>3750</v>
      </c>
      <c r="V25" s="169">
        <v>4000</v>
      </c>
      <c r="W25" s="169"/>
      <c r="X25" s="169"/>
      <c r="Y25" s="169"/>
      <c r="Z25" s="169"/>
      <c r="AA25" s="164"/>
      <c r="AB25" s="164"/>
      <c r="AC25" s="164"/>
      <c r="AD25" s="164"/>
      <c r="AE25" s="164"/>
      <c r="AF25" s="169"/>
      <c r="AG25" s="169"/>
      <c r="AH25" s="164" t="s">
        <v>503</v>
      </c>
      <c r="AP25" s="172"/>
      <c r="AQ25" s="172"/>
    </row>
    <row r="26" spans="1:43" ht="55.5" customHeight="1" x14ac:dyDescent="0.25">
      <c r="A26" s="164"/>
      <c r="B26" s="214" t="s">
        <v>226</v>
      </c>
      <c r="C26" s="164" t="s">
        <v>227</v>
      </c>
      <c r="D26" s="166" t="s">
        <v>122</v>
      </c>
      <c r="E26" s="166" t="s">
        <v>202</v>
      </c>
      <c r="F26" s="164"/>
      <c r="G26" s="164" t="s">
        <v>384</v>
      </c>
      <c r="H26" s="164">
        <v>5</v>
      </c>
      <c r="I26" s="164"/>
      <c r="J26" s="164" t="s">
        <v>323</v>
      </c>
      <c r="K26" s="164"/>
      <c r="L26" s="164"/>
      <c r="M26" s="164"/>
      <c r="N26" s="164"/>
      <c r="O26" s="164"/>
      <c r="P26" s="164"/>
      <c r="Q26" s="164"/>
      <c r="R26" s="297"/>
      <c r="S26" s="164"/>
      <c r="T26" s="169">
        <f>U26+V26+W26</f>
        <v>7750</v>
      </c>
      <c r="U26" s="169">
        <v>3750</v>
      </c>
      <c r="V26" s="169">
        <v>4000</v>
      </c>
      <c r="W26" s="169"/>
      <c r="X26" s="169"/>
      <c r="Y26" s="169"/>
      <c r="Z26" s="169"/>
      <c r="AA26" s="164"/>
      <c r="AB26" s="164"/>
      <c r="AC26" s="164"/>
      <c r="AD26" s="164"/>
      <c r="AE26" s="164"/>
      <c r="AF26" s="169"/>
      <c r="AG26" s="169"/>
      <c r="AH26" s="164" t="s">
        <v>503</v>
      </c>
      <c r="AP26" s="172"/>
      <c r="AQ26" s="172"/>
    </row>
    <row r="27" spans="1:43" s="151" customFormat="1" ht="27" customHeight="1" x14ac:dyDescent="0.25">
      <c r="A27" s="173">
        <v>2</v>
      </c>
      <c r="B27" s="203" t="s">
        <v>261</v>
      </c>
      <c r="C27" s="173"/>
      <c r="D27" s="175"/>
      <c r="E27" s="175"/>
      <c r="F27" s="173"/>
      <c r="G27" s="173"/>
      <c r="H27" s="173">
        <f>H28+H29+H30</f>
        <v>15.5</v>
      </c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8">
        <f>T28+T29+T30</f>
        <v>24025</v>
      </c>
      <c r="U27" s="178">
        <f>U28+U29+U30</f>
        <v>11625</v>
      </c>
      <c r="V27" s="178">
        <f>V28+V29+V30</f>
        <v>12400</v>
      </c>
      <c r="W27" s="178"/>
      <c r="X27" s="178"/>
      <c r="Y27" s="178"/>
      <c r="Z27" s="178"/>
      <c r="AA27" s="173"/>
      <c r="AB27" s="173"/>
      <c r="AC27" s="173"/>
      <c r="AD27" s="173"/>
      <c r="AE27" s="173"/>
      <c r="AF27" s="178"/>
      <c r="AG27" s="178"/>
      <c r="AH27" s="173"/>
      <c r="AP27" s="163"/>
      <c r="AQ27" s="163"/>
    </row>
    <row r="28" spans="1:43" ht="55.5" customHeight="1" x14ac:dyDescent="0.25">
      <c r="A28" s="164"/>
      <c r="B28" s="215" t="s">
        <v>228</v>
      </c>
      <c r="C28" s="164" t="s">
        <v>229</v>
      </c>
      <c r="D28" s="166" t="s">
        <v>122</v>
      </c>
      <c r="E28" s="166" t="s">
        <v>202</v>
      </c>
      <c r="F28" s="164"/>
      <c r="G28" s="164" t="s">
        <v>384</v>
      </c>
      <c r="H28" s="164">
        <v>5.5</v>
      </c>
      <c r="I28" s="164"/>
      <c r="J28" s="164" t="s">
        <v>315</v>
      </c>
      <c r="K28" s="164"/>
      <c r="L28" s="164"/>
      <c r="M28" s="164"/>
      <c r="N28" s="164"/>
      <c r="O28" s="164"/>
      <c r="P28" s="164"/>
      <c r="Q28" s="164"/>
      <c r="R28" s="297" t="s">
        <v>223</v>
      </c>
      <c r="S28" s="164"/>
      <c r="T28" s="169">
        <f>U28+V28+W28</f>
        <v>8525</v>
      </c>
      <c r="U28" s="169">
        <v>4125</v>
      </c>
      <c r="V28" s="169">
        <v>4400</v>
      </c>
      <c r="W28" s="169"/>
      <c r="X28" s="169"/>
      <c r="Y28" s="169"/>
      <c r="Z28" s="169"/>
      <c r="AA28" s="164"/>
      <c r="AB28" s="164"/>
      <c r="AC28" s="164"/>
      <c r="AD28" s="164"/>
      <c r="AE28" s="164"/>
      <c r="AF28" s="169"/>
      <c r="AG28" s="169"/>
      <c r="AH28" s="164" t="s">
        <v>503</v>
      </c>
      <c r="AP28" s="172"/>
      <c r="AQ28" s="172"/>
    </row>
    <row r="29" spans="1:43" ht="52.5" customHeight="1" x14ac:dyDescent="0.25">
      <c r="A29" s="164"/>
      <c r="B29" s="215" t="s">
        <v>230</v>
      </c>
      <c r="C29" s="164" t="s">
        <v>231</v>
      </c>
      <c r="D29" s="166" t="s">
        <v>122</v>
      </c>
      <c r="E29" s="166" t="s">
        <v>202</v>
      </c>
      <c r="F29" s="164"/>
      <c r="G29" s="164" t="s">
        <v>384</v>
      </c>
      <c r="H29" s="164">
        <v>5.5</v>
      </c>
      <c r="I29" s="164"/>
      <c r="J29" s="164" t="s">
        <v>315</v>
      </c>
      <c r="K29" s="164"/>
      <c r="L29" s="164"/>
      <c r="M29" s="164"/>
      <c r="N29" s="164"/>
      <c r="O29" s="164"/>
      <c r="P29" s="164"/>
      <c r="Q29" s="164"/>
      <c r="R29" s="297"/>
      <c r="S29" s="164"/>
      <c r="T29" s="169">
        <f>U29+V29+W29</f>
        <v>8525</v>
      </c>
      <c r="U29" s="169">
        <v>4125</v>
      </c>
      <c r="V29" s="169">
        <v>4400</v>
      </c>
      <c r="W29" s="169"/>
      <c r="X29" s="169"/>
      <c r="Y29" s="169"/>
      <c r="Z29" s="169"/>
      <c r="AA29" s="164"/>
      <c r="AB29" s="164"/>
      <c r="AC29" s="164"/>
      <c r="AD29" s="164"/>
      <c r="AE29" s="164"/>
      <c r="AF29" s="169"/>
      <c r="AG29" s="169"/>
      <c r="AH29" s="164" t="s">
        <v>503</v>
      </c>
      <c r="AP29" s="172"/>
      <c r="AQ29" s="172"/>
    </row>
    <row r="30" spans="1:43" ht="51.75" customHeight="1" x14ac:dyDescent="0.25">
      <c r="A30" s="164"/>
      <c r="B30" s="215" t="s">
        <v>232</v>
      </c>
      <c r="C30" s="164" t="s">
        <v>233</v>
      </c>
      <c r="D30" s="166" t="s">
        <v>122</v>
      </c>
      <c r="E30" s="166" t="s">
        <v>202</v>
      </c>
      <c r="F30" s="164"/>
      <c r="G30" s="164" t="s">
        <v>384</v>
      </c>
      <c r="H30" s="164">
        <v>4.5</v>
      </c>
      <c r="I30" s="164"/>
      <c r="J30" s="164" t="s">
        <v>326</v>
      </c>
      <c r="K30" s="164"/>
      <c r="L30" s="164"/>
      <c r="M30" s="164"/>
      <c r="N30" s="164"/>
      <c r="O30" s="164"/>
      <c r="P30" s="164"/>
      <c r="Q30" s="164"/>
      <c r="R30" s="297"/>
      <c r="S30" s="164"/>
      <c r="T30" s="169">
        <f>U30+V30+W30</f>
        <v>6975</v>
      </c>
      <c r="U30" s="169">
        <v>3375</v>
      </c>
      <c r="V30" s="169">
        <v>3600</v>
      </c>
      <c r="W30" s="169"/>
      <c r="X30" s="169"/>
      <c r="Y30" s="169"/>
      <c r="Z30" s="169"/>
      <c r="AA30" s="164"/>
      <c r="AB30" s="164"/>
      <c r="AC30" s="164"/>
      <c r="AD30" s="164"/>
      <c r="AE30" s="164"/>
      <c r="AF30" s="169"/>
      <c r="AG30" s="169"/>
      <c r="AH30" s="164" t="s">
        <v>503</v>
      </c>
      <c r="AP30" s="172"/>
      <c r="AQ30" s="172"/>
    </row>
    <row r="31" spans="1:43" s="151" customFormat="1" ht="32.25" customHeight="1" x14ac:dyDescent="0.25">
      <c r="A31" s="173">
        <v>3</v>
      </c>
      <c r="B31" s="205" t="s">
        <v>266</v>
      </c>
      <c r="C31" s="173"/>
      <c r="D31" s="175"/>
      <c r="E31" s="175"/>
      <c r="F31" s="173"/>
      <c r="G31" s="173"/>
      <c r="H31" s="173">
        <f>H32</f>
        <v>3</v>
      </c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8">
        <f>T32</f>
        <v>4650</v>
      </c>
      <c r="U31" s="178">
        <f>U32</f>
        <v>2250</v>
      </c>
      <c r="V31" s="178">
        <f>V32</f>
        <v>2400</v>
      </c>
      <c r="W31" s="178"/>
      <c r="X31" s="178"/>
      <c r="Y31" s="178"/>
      <c r="Z31" s="178"/>
      <c r="AA31" s="173"/>
      <c r="AB31" s="173"/>
      <c r="AC31" s="173"/>
      <c r="AD31" s="173"/>
      <c r="AE31" s="173"/>
      <c r="AF31" s="178"/>
      <c r="AG31" s="178"/>
      <c r="AH31" s="173"/>
      <c r="AP31" s="163"/>
      <c r="AQ31" s="163"/>
    </row>
    <row r="32" spans="1:43" ht="55.5" customHeight="1" x14ac:dyDescent="0.25">
      <c r="A32" s="164"/>
      <c r="B32" s="216" t="s">
        <v>234</v>
      </c>
      <c r="C32" s="164" t="s">
        <v>235</v>
      </c>
      <c r="D32" s="166" t="s">
        <v>122</v>
      </c>
      <c r="E32" s="166" t="s">
        <v>202</v>
      </c>
      <c r="F32" s="164"/>
      <c r="G32" s="164" t="s">
        <v>384</v>
      </c>
      <c r="H32" s="164">
        <v>3</v>
      </c>
      <c r="I32" s="164"/>
      <c r="J32" s="164" t="s">
        <v>327</v>
      </c>
      <c r="K32" s="164"/>
      <c r="L32" s="164"/>
      <c r="M32" s="164"/>
      <c r="N32" s="164"/>
      <c r="O32" s="164"/>
      <c r="P32" s="164"/>
      <c r="Q32" s="164"/>
      <c r="R32" s="164" t="s">
        <v>236</v>
      </c>
      <c r="S32" s="164"/>
      <c r="T32" s="169">
        <f>U32+V32+W32</f>
        <v>4650</v>
      </c>
      <c r="U32" s="169">
        <v>2250</v>
      </c>
      <c r="V32" s="169">
        <v>2400</v>
      </c>
      <c r="W32" s="169"/>
      <c r="X32" s="169"/>
      <c r="Y32" s="169"/>
      <c r="Z32" s="169"/>
      <c r="AA32" s="164"/>
      <c r="AB32" s="164"/>
      <c r="AC32" s="164"/>
      <c r="AD32" s="164"/>
      <c r="AE32" s="164"/>
      <c r="AF32" s="169"/>
      <c r="AG32" s="169"/>
      <c r="AH32" s="164" t="s">
        <v>503</v>
      </c>
      <c r="AP32" s="172"/>
      <c r="AQ32" s="172"/>
    </row>
    <row r="33" spans="1:43" s="151" customFormat="1" ht="25.5" customHeight="1" x14ac:dyDescent="0.25">
      <c r="A33" s="173">
        <v>4</v>
      </c>
      <c r="B33" s="207" t="s">
        <v>276</v>
      </c>
      <c r="C33" s="173"/>
      <c r="D33" s="175"/>
      <c r="E33" s="175"/>
      <c r="F33" s="173"/>
      <c r="G33" s="173"/>
      <c r="H33" s="173">
        <f>H34+H35+H36</f>
        <v>18</v>
      </c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8">
        <f>T34+T35+T36</f>
        <v>27900</v>
      </c>
      <c r="U33" s="178">
        <f>U34+U35+U36</f>
        <v>13500</v>
      </c>
      <c r="V33" s="178">
        <f>V34+V35+V36</f>
        <v>14400</v>
      </c>
      <c r="W33" s="178"/>
      <c r="X33" s="178"/>
      <c r="Y33" s="178"/>
      <c r="Z33" s="178"/>
      <c r="AA33" s="173"/>
      <c r="AB33" s="173"/>
      <c r="AC33" s="173"/>
      <c r="AD33" s="173"/>
      <c r="AE33" s="173"/>
      <c r="AF33" s="178"/>
      <c r="AG33" s="178"/>
      <c r="AH33" s="173"/>
      <c r="AP33" s="163"/>
      <c r="AQ33" s="163"/>
    </row>
    <row r="34" spans="1:43" ht="54.75" customHeight="1" x14ac:dyDescent="0.25">
      <c r="A34" s="164"/>
      <c r="B34" s="217" t="s">
        <v>237</v>
      </c>
      <c r="C34" s="164" t="s">
        <v>238</v>
      </c>
      <c r="D34" s="166" t="s">
        <v>122</v>
      </c>
      <c r="E34" s="166" t="s">
        <v>202</v>
      </c>
      <c r="F34" s="164"/>
      <c r="G34" s="164" t="s">
        <v>384</v>
      </c>
      <c r="H34" s="164">
        <v>6</v>
      </c>
      <c r="I34" s="164"/>
      <c r="J34" s="164" t="s">
        <v>325</v>
      </c>
      <c r="K34" s="164"/>
      <c r="L34" s="164"/>
      <c r="M34" s="164"/>
      <c r="N34" s="164"/>
      <c r="O34" s="164"/>
      <c r="P34" s="164"/>
      <c r="Q34" s="164"/>
      <c r="R34" s="297" t="s">
        <v>239</v>
      </c>
      <c r="S34" s="164"/>
      <c r="T34" s="169">
        <f>U34+V34+W34</f>
        <v>9300</v>
      </c>
      <c r="U34" s="169">
        <v>4500</v>
      </c>
      <c r="V34" s="169">
        <v>4800</v>
      </c>
      <c r="W34" s="169"/>
      <c r="X34" s="169"/>
      <c r="Y34" s="169"/>
      <c r="Z34" s="169"/>
      <c r="AA34" s="164"/>
      <c r="AB34" s="164"/>
      <c r="AC34" s="164"/>
      <c r="AD34" s="164"/>
      <c r="AE34" s="164"/>
      <c r="AF34" s="169"/>
      <c r="AG34" s="169"/>
      <c r="AH34" s="164" t="s">
        <v>503</v>
      </c>
      <c r="AP34" s="172"/>
      <c r="AQ34" s="172"/>
    </row>
    <row r="35" spans="1:43" ht="51.75" customHeight="1" x14ac:dyDescent="0.25">
      <c r="A35" s="164"/>
      <c r="B35" s="217" t="s">
        <v>240</v>
      </c>
      <c r="C35" s="164" t="s">
        <v>241</v>
      </c>
      <c r="D35" s="166" t="s">
        <v>122</v>
      </c>
      <c r="E35" s="166" t="s">
        <v>202</v>
      </c>
      <c r="F35" s="164"/>
      <c r="G35" s="164" t="s">
        <v>384</v>
      </c>
      <c r="H35" s="164">
        <v>6</v>
      </c>
      <c r="I35" s="164"/>
      <c r="J35" s="164" t="s">
        <v>325</v>
      </c>
      <c r="K35" s="164"/>
      <c r="L35" s="164"/>
      <c r="M35" s="164"/>
      <c r="N35" s="164"/>
      <c r="O35" s="164"/>
      <c r="P35" s="164"/>
      <c r="Q35" s="164"/>
      <c r="R35" s="297"/>
      <c r="S35" s="164"/>
      <c r="T35" s="169">
        <f>U35+V35+W35</f>
        <v>9300</v>
      </c>
      <c r="U35" s="169">
        <v>4500</v>
      </c>
      <c r="V35" s="169">
        <v>4800</v>
      </c>
      <c r="W35" s="169"/>
      <c r="X35" s="169"/>
      <c r="Y35" s="169"/>
      <c r="Z35" s="169"/>
      <c r="AA35" s="164"/>
      <c r="AB35" s="164"/>
      <c r="AC35" s="164"/>
      <c r="AD35" s="164"/>
      <c r="AE35" s="164"/>
      <c r="AF35" s="169"/>
      <c r="AG35" s="169"/>
      <c r="AH35" s="164" t="s">
        <v>503</v>
      </c>
      <c r="AP35" s="172"/>
      <c r="AQ35" s="172"/>
    </row>
    <row r="36" spans="1:43" ht="59.25" customHeight="1" x14ac:dyDescent="0.25">
      <c r="A36" s="164"/>
      <c r="B36" s="217" t="s">
        <v>242</v>
      </c>
      <c r="C36" s="164" t="s">
        <v>243</v>
      </c>
      <c r="D36" s="166" t="s">
        <v>122</v>
      </c>
      <c r="E36" s="166" t="s">
        <v>202</v>
      </c>
      <c r="F36" s="164"/>
      <c r="G36" s="164" t="s">
        <v>384</v>
      </c>
      <c r="H36" s="164">
        <v>6</v>
      </c>
      <c r="I36" s="164"/>
      <c r="J36" s="164" t="s">
        <v>325</v>
      </c>
      <c r="K36" s="164"/>
      <c r="L36" s="164"/>
      <c r="M36" s="164"/>
      <c r="N36" s="164"/>
      <c r="O36" s="164"/>
      <c r="P36" s="164"/>
      <c r="Q36" s="164"/>
      <c r="R36" s="297"/>
      <c r="S36" s="164"/>
      <c r="T36" s="169">
        <f>U36+V36+W36</f>
        <v>9300</v>
      </c>
      <c r="U36" s="169">
        <v>4500</v>
      </c>
      <c r="V36" s="169">
        <v>4800</v>
      </c>
      <c r="W36" s="169"/>
      <c r="X36" s="169"/>
      <c r="Y36" s="169"/>
      <c r="Z36" s="169"/>
      <c r="AA36" s="164"/>
      <c r="AB36" s="164"/>
      <c r="AC36" s="164"/>
      <c r="AD36" s="164"/>
      <c r="AE36" s="164"/>
      <c r="AF36" s="169"/>
      <c r="AG36" s="169"/>
      <c r="AH36" s="164" t="s">
        <v>503</v>
      </c>
      <c r="AP36" s="172"/>
      <c r="AQ36" s="172"/>
    </row>
    <row r="37" spans="1:43" s="151" customFormat="1" ht="28.5" customHeight="1" x14ac:dyDescent="0.25">
      <c r="A37" s="173">
        <v>5</v>
      </c>
      <c r="B37" s="212" t="s">
        <v>281</v>
      </c>
      <c r="C37" s="173"/>
      <c r="D37" s="175"/>
      <c r="E37" s="175"/>
      <c r="F37" s="173"/>
      <c r="G37" s="173"/>
      <c r="H37" s="173">
        <f>H38+H39</f>
        <v>9</v>
      </c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8">
        <f>T38+T39</f>
        <v>13950</v>
      </c>
      <c r="U37" s="178">
        <f>U38+U39</f>
        <v>6750</v>
      </c>
      <c r="V37" s="178">
        <f>V38+V39</f>
        <v>7200</v>
      </c>
      <c r="W37" s="178"/>
      <c r="X37" s="178"/>
      <c r="Y37" s="178"/>
      <c r="Z37" s="178"/>
      <c r="AA37" s="173"/>
      <c r="AB37" s="173"/>
      <c r="AC37" s="173"/>
      <c r="AD37" s="173"/>
      <c r="AE37" s="173"/>
      <c r="AF37" s="178"/>
      <c r="AG37" s="178"/>
      <c r="AH37" s="173"/>
      <c r="AP37" s="163"/>
      <c r="AQ37" s="163"/>
    </row>
    <row r="38" spans="1:43" ht="57.75" customHeight="1" x14ac:dyDescent="0.25">
      <c r="A38" s="164"/>
      <c r="B38" s="217" t="s">
        <v>528</v>
      </c>
      <c r="C38" s="164" t="s">
        <v>244</v>
      </c>
      <c r="D38" s="166" t="s">
        <v>122</v>
      </c>
      <c r="E38" s="166" t="s">
        <v>202</v>
      </c>
      <c r="F38" s="164"/>
      <c r="G38" s="164" t="s">
        <v>384</v>
      </c>
      <c r="H38" s="164">
        <v>4.5</v>
      </c>
      <c r="I38" s="164"/>
      <c r="J38" s="164" t="s">
        <v>326</v>
      </c>
      <c r="K38" s="164"/>
      <c r="L38" s="164"/>
      <c r="M38" s="164"/>
      <c r="N38" s="164"/>
      <c r="O38" s="164"/>
      <c r="P38" s="164"/>
      <c r="Q38" s="164"/>
      <c r="R38" s="297" t="s">
        <v>245</v>
      </c>
      <c r="S38" s="164"/>
      <c r="T38" s="169">
        <f>U38+V38+W38</f>
        <v>6975</v>
      </c>
      <c r="U38" s="169">
        <v>3375</v>
      </c>
      <c r="V38" s="169">
        <v>3600</v>
      </c>
      <c r="W38" s="169"/>
      <c r="X38" s="169"/>
      <c r="Y38" s="169"/>
      <c r="Z38" s="169"/>
      <c r="AA38" s="164"/>
      <c r="AB38" s="164"/>
      <c r="AC38" s="164"/>
      <c r="AD38" s="164"/>
      <c r="AE38" s="164"/>
      <c r="AF38" s="169"/>
      <c r="AG38" s="169"/>
      <c r="AH38" s="164" t="s">
        <v>503</v>
      </c>
      <c r="AP38" s="172"/>
      <c r="AQ38" s="172"/>
    </row>
    <row r="39" spans="1:43" ht="57.75" customHeight="1" x14ac:dyDescent="0.25">
      <c r="A39" s="164"/>
      <c r="B39" s="218" t="s">
        <v>246</v>
      </c>
      <c r="C39" s="164" t="s">
        <v>247</v>
      </c>
      <c r="D39" s="166" t="s">
        <v>122</v>
      </c>
      <c r="E39" s="166" t="s">
        <v>202</v>
      </c>
      <c r="F39" s="164"/>
      <c r="G39" s="164" t="s">
        <v>384</v>
      </c>
      <c r="H39" s="164">
        <v>4.5</v>
      </c>
      <c r="I39" s="164"/>
      <c r="J39" s="164" t="s">
        <v>326</v>
      </c>
      <c r="K39" s="164"/>
      <c r="L39" s="164"/>
      <c r="M39" s="164"/>
      <c r="N39" s="164"/>
      <c r="O39" s="164"/>
      <c r="P39" s="164"/>
      <c r="Q39" s="164"/>
      <c r="R39" s="297"/>
      <c r="S39" s="164"/>
      <c r="T39" s="169">
        <f>U39+V39+W39</f>
        <v>6975</v>
      </c>
      <c r="U39" s="169">
        <v>3375</v>
      </c>
      <c r="V39" s="169">
        <v>3600</v>
      </c>
      <c r="W39" s="169"/>
      <c r="X39" s="169"/>
      <c r="Y39" s="169"/>
      <c r="Z39" s="169"/>
      <c r="AA39" s="164"/>
      <c r="AB39" s="164"/>
      <c r="AC39" s="164"/>
      <c r="AD39" s="164"/>
      <c r="AE39" s="164"/>
      <c r="AF39" s="169"/>
      <c r="AG39" s="169"/>
      <c r="AH39" s="164" t="s">
        <v>503</v>
      </c>
      <c r="AP39" s="172"/>
      <c r="AQ39" s="172"/>
    </row>
    <row r="40" spans="1:43" s="151" customFormat="1" ht="119.25" customHeight="1" x14ac:dyDescent="0.25">
      <c r="A40" s="173" t="s">
        <v>265</v>
      </c>
      <c r="B40" s="212" t="s">
        <v>480</v>
      </c>
      <c r="C40" s="173"/>
      <c r="D40" s="175"/>
      <c r="E40" s="175"/>
      <c r="F40" s="173"/>
      <c r="G40" s="173"/>
      <c r="H40" s="173"/>
      <c r="I40" s="173">
        <f>130+20+3.5+3+5</f>
        <v>161.5</v>
      </c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8"/>
      <c r="U40" s="178"/>
      <c r="V40" s="178">
        <f>V43+V46+V44</f>
        <v>20250</v>
      </c>
      <c r="W40" s="178"/>
      <c r="X40" s="178"/>
      <c r="Y40" s="178"/>
      <c r="Z40" s="178"/>
      <c r="AA40" s="173"/>
      <c r="AB40" s="173"/>
      <c r="AC40" s="173"/>
      <c r="AD40" s="173"/>
      <c r="AE40" s="173"/>
      <c r="AF40" s="178"/>
      <c r="AG40" s="178"/>
      <c r="AH40" s="219" t="s">
        <v>529</v>
      </c>
      <c r="AP40" s="163"/>
      <c r="AQ40" s="163"/>
    </row>
    <row r="41" spans="1:43" s="151" customFormat="1" ht="42.75" customHeight="1" x14ac:dyDescent="0.25">
      <c r="A41" s="173"/>
      <c r="B41" s="212" t="s">
        <v>519</v>
      </c>
      <c r="C41" s="173"/>
      <c r="D41" s="175"/>
      <c r="E41" s="175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8"/>
      <c r="U41" s="178"/>
      <c r="V41" s="178"/>
      <c r="W41" s="178"/>
      <c r="X41" s="178"/>
      <c r="Y41" s="178"/>
      <c r="Z41" s="178"/>
      <c r="AA41" s="173"/>
      <c r="AB41" s="173"/>
      <c r="AC41" s="173"/>
      <c r="AD41" s="173"/>
      <c r="AE41" s="173"/>
      <c r="AF41" s="178"/>
      <c r="AG41" s="178"/>
      <c r="AH41" s="219"/>
      <c r="AP41" s="163"/>
      <c r="AQ41" s="163"/>
    </row>
    <row r="42" spans="1:43" s="151" customFormat="1" ht="14.25" x14ac:dyDescent="0.25">
      <c r="A42" s="173">
        <v>1</v>
      </c>
      <c r="B42" s="198" t="s">
        <v>256</v>
      </c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8"/>
      <c r="U42" s="178"/>
      <c r="V42" s="178"/>
      <c r="W42" s="199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J42" s="163"/>
      <c r="AP42" s="163"/>
      <c r="AQ42" s="163"/>
    </row>
    <row r="43" spans="1:43" ht="67.5" customHeight="1" x14ac:dyDescent="0.25">
      <c r="A43" s="164">
        <v>1</v>
      </c>
      <c r="B43" s="218" t="s">
        <v>512</v>
      </c>
      <c r="C43" s="164" t="s">
        <v>513</v>
      </c>
      <c r="D43" s="166">
        <v>2025</v>
      </c>
      <c r="E43" s="166" t="s">
        <v>515</v>
      </c>
      <c r="F43" s="164" t="s">
        <v>516</v>
      </c>
      <c r="G43" s="164" t="s">
        <v>517</v>
      </c>
      <c r="H43" s="164"/>
      <c r="I43" s="164">
        <v>26</v>
      </c>
      <c r="J43" s="164"/>
      <c r="K43" s="164"/>
      <c r="L43" s="164"/>
      <c r="M43" s="164"/>
      <c r="N43" s="164"/>
      <c r="O43" s="164"/>
      <c r="P43" s="164"/>
      <c r="Q43" s="164"/>
      <c r="R43" s="164" t="s">
        <v>236</v>
      </c>
      <c r="S43" s="164"/>
      <c r="T43" s="169"/>
      <c r="U43" s="169"/>
      <c r="V43" s="169">
        <f>I43*150</f>
        <v>3900</v>
      </c>
      <c r="W43" s="169"/>
      <c r="X43" s="169"/>
      <c r="Y43" s="169"/>
      <c r="Z43" s="169"/>
      <c r="AA43" s="164"/>
      <c r="AB43" s="164"/>
      <c r="AC43" s="164"/>
      <c r="AD43" s="164"/>
      <c r="AE43" s="164"/>
      <c r="AF43" s="169"/>
      <c r="AG43" s="169"/>
      <c r="AH43" s="164"/>
      <c r="AP43" s="172"/>
      <c r="AQ43" s="172"/>
    </row>
    <row r="44" spans="1:43" ht="60" x14ac:dyDescent="0.25">
      <c r="A44" s="164">
        <v>2</v>
      </c>
      <c r="B44" s="218" t="s">
        <v>520</v>
      </c>
      <c r="C44" s="222" t="s">
        <v>521</v>
      </c>
      <c r="D44" s="222" t="s">
        <v>522</v>
      </c>
      <c r="E44" s="222" t="s">
        <v>515</v>
      </c>
      <c r="F44" s="222" t="s">
        <v>516</v>
      </c>
      <c r="G44" s="222" t="s">
        <v>517</v>
      </c>
      <c r="H44" s="222"/>
      <c r="I44" s="222">
        <v>5</v>
      </c>
      <c r="J44" s="222"/>
      <c r="K44" s="222"/>
      <c r="L44" s="222"/>
      <c r="M44" s="222"/>
      <c r="N44" s="222"/>
      <c r="O44" s="222"/>
      <c r="P44" s="222"/>
      <c r="Q44" s="222"/>
      <c r="R44" s="222" t="s">
        <v>523</v>
      </c>
      <c r="S44" s="222"/>
      <c r="T44" s="222"/>
      <c r="U44" s="222"/>
      <c r="V44" s="223">
        <v>750</v>
      </c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164"/>
      <c r="AP44" s="172"/>
      <c r="AQ44" s="172"/>
    </row>
    <row r="45" spans="1:43" s="151" customFormat="1" ht="14.25" x14ac:dyDescent="0.25">
      <c r="A45" s="173">
        <v>2</v>
      </c>
      <c r="B45" s="198" t="s">
        <v>261</v>
      </c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8"/>
      <c r="U45" s="178"/>
      <c r="V45" s="178"/>
      <c r="W45" s="199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J45" s="163"/>
      <c r="AP45" s="163"/>
      <c r="AQ45" s="163"/>
    </row>
    <row r="46" spans="1:43" ht="96" customHeight="1" x14ac:dyDescent="0.25">
      <c r="A46" s="187"/>
      <c r="B46" s="220" t="s">
        <v>512</v>
      </c>
      <c r="C46" s="187" t="s">
        <v>514</v>
      </c>
      <c r="D46" s="189" t="s">
        <v>122</v>
      </c>
      <c r="E46" s="189" t="s">
        <v>515</v>
      </c>
      <c r="F46" s="187" t="s">
        <v>516</v>
      </c>
      <c r="G46" s="187" t="s">
        <v>517</v>
      </c>
      <c r="H46" s="187"/>
      <c r="I46" s="187">
        <f>(35+95)-26</f>
        <v>104</v>
      </c>
      <c r="J46" s="187"/>
      <c r="K46" s="187"/>
      <c r="L46" s="187"/>
      <c r="M46" s="187"/>
      <c r="N46" s="187"/>
      <c r="O46" s="187"/>
      <c r="P46" s="187"/>
      <c r="Q46" s="187"/>
      <c r="R46" s="187" t="s">
        <v>518</v>
      </c>
      <c r="S46" s="187"/>
      <c r="T46" s="192"/>
      <c r="U46" s="192"/>
      <c r="V46" s="192">
        <f>I46*150</f>
        <v>15600</v>
      </c>
      <c r="W46" s="192"/>
      <c r="X46" s="192"/>
      <c r="Y46" s="192"/>
      <c r="Z46" s="192"/>
      <c r="AA46" s="187"/>
      <c r="AB46" s="187"/>
      <c r="AC46" s="187"/>
      <c r="AD46" s="187"/>
      <c r="AE46" s="187"/>
      <c r="AF46" s="192"/>
      <c r="AG46" s="192"/>
      <c r="AH46" s="187"/>
      <c r="AP46" s="172"/>
      <c r="AQ46" s="172"/>
    </row>
    <row r="50" spans="6:8" x14ac:dyDescent="0.25">
      <c r="F50" s="221">
        <f>163.9/70</f>
        <v>2.3414285714285716</v>
      </c>
      <c r="H50" s="221">
        <f>I40/61</f>
        <v>2.6475409836065573</v>
      </c>
    </row>
  </sheetData>
  <mergeCells count="40">
    <mergeCell ref="A1:AH1"/>
    <mergeCell ref="W2:AH2"/>
    <mergeCell ref="A3:A7"/>
    <mergeCell ref="B3:B7"/>
    <mergeCell ref="C3:C7"/>
    <mergeCell ref="D3:D7"/>
    <mergeCell ref="E3:E7"/>
    <mergeCell ref="F3:F7"/>
    <mergeCell ref="J3:K4"/>
    <mergeCell ref="AG3:AG7"/>
    <mergeCell ref="AH3:AH7"/>
    <mergeCell ref="J5:J7"/>
    <mergeCell ref="AD5:AD7"/>
    <mergeCell ref="AF5:AF7"/>
    <mergeCell ref="G3:G7"/>
    <mergeCell ref="H3:H7"/>
    <mergeCell ref="I3:I7"/>
    <mergeCell ref="L3:M4"/>
    <mergeCell ref="K5:K7"/>
    <mergeCell ref="L5:L7"/>
    <mergeCell ref="M5:M7"/>
    <mergeCell ref="AC3:AF4"/>
    <mergeCell ref="AC5:AC7"/>
    <mergeCell ref="Y3:AB4"/>
    <mergeCell ref="Z5:AA7"/>
    <mergeCell ref="AB5:AB7"/>
    <mergeCell ref="AE5:AE7"/>
    <mergeCell ref="R38:R39"/>
    <mergeCell ref="V6:W6"/>
    <mergeCell ref="Y5:Y7"/>
    <mergeCell ref="R28:R30"/>
    <mergeCell ref="S3:S7"/>
    <mergeCell ref="T3:W4"/>
    <mergeCell ref="X3:X7"/>
    <mergeCell ref="T5:T7"/>
    <mergeCell ref="U5:W5"/>
    <mergeCell ref="U6:U7"/>
    <mergeCell ref="R24:R26"/>
    <mergeCell ref="R3:R7"/>
    <mergeCell ref="R34:R36"/>
  </mergeCells>
  <printOptions horizontalCentered="1"/>
  <pageMargins left="0" right="0" top="0.59055118110236204" bottom="0.74803149606299202" header="0.31496062992126" footer="0.31496062992126"/>
  <pageSetup paperSize="9" scale="55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4"/>
  <sheetViews>
    <sheetView tabSelected="1" zoomScale="70" zoomScaleNormal="70" workbookViewId="0">
      <selection activeCell="M6" sqref="M6"/>
    </sheetView>
  </sheetViews>
  <sheetFormatPr defaultColWidth="9" defaultRowHeight="15.75" x14ac:dyDescent="0.25"/>
  <cols>
    <col min="1" max="1" width="6.125" style="10" customWidth="1"/>
    <col min="2" max="2" width="20.375" style="232" customWidth="1"/>
    <col min="3" max="3" width="7.125" style="10" customWidth="1"/>
    <col min="4" max="4" width="8.25" style="10" customWidth="1"/>
    <col min="5" max="5" width="8" style="10" customWidth="1"/>
    <col min="6" max="6" width="8.875" style="10" customWidth="1"/>
    <col min="7" max="7" width="8.375" style="10" customWidth="1"/>
    <col min="8" max="8" width="8.25" style="10" customWidth="1"/>
    <col min="9" max="9" width="10" style="10" customWidth="1"/>
    <col min="10" max="10" width="12.25" style="10" customWidth="1"/>
    <col min="11" max="11" width="7.375" style="10" customWidth="1"/>
    <col min="12" max="12" width="8.125" style="10" customWidth="1"/>
    <col min="13" max="13" width="6.75" style="10" bestFit="1" customWidth="1"/>
    <col min="14" max="14" width="8.25" style="10" customWidth="1"/>
    <col min="15" max="15" width="7.125" style="10" customWidth="1"/>
    <col min="16" max="16" width="6.5" style="10" customWidth="1"/>
    <col min="17" max="17" width="8" style="10" customWidth="1"/>
    <col min="18" max="18" width="6.375" style="10" customWidth="1"/>
    <col min="19" max="20" width="9" style="10" customWidth="1"/>
    <col min="21" max="21" width="8.625" style="10" customWidth="1"/>
    <col min="22" max="22" width="7.5" style="10" customWidth="1"/>
    <col min="23" max="23" width="7.875" style="10" customWidth="1"/>
    <col min="24" max="24" width="10.125" style="10" customWidth="1"/>
    <col min="25" max="25" width="8" style="10" customWidth="1"/>
    <col min="26" max="26" width="9" style="10" customWidth="1"/>
    <col min="27" max="27" width="10.5" style="10" customWidth="1"/>
    <col min="28" max="29" width="9" style="10" customWidth="1"/>
    <col min="30" max="30" width="14.5" style="10" customWidth="1"/>
    <col min="31" max="31" width="9" style="10" customWidth="1"/>
    <col min="32" max="16384" width="9" style="10"/>
  </cols>
  <sheetData>
    <row r="1" spans="1:36" ht="43.5" customHeight="1" x14ac:dyDescent="0.25">
      <c r="A1" s="249" t="s">
        <v>536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</row>
    <row r="2" spans="1:36" ht="23.25" customHeight="1" x14ac:dyDescent="0.25">
      <c r="A2" s="18"/>
      <c r="B2" s="225"/>
      <c r="C2" s="18"/>
      <c r="D2" s="18"/>
      <c r="E2" s="18"/>
      <c r="F2" s="18"/>
      <c r="G2" s="18"/>
      <c r="H2" s="298"/>
      <c r="I2" s="298"/>
      <c r="J2" s="224"/>
      <c r="K2" s="224"/>
      <c r="X2" s="298" t="s">
        <v>411</v>
      </c>
      <c r="Y2" s="298"/>
    </row>
    <row r="3" spans="1:36" s="18" customFormat="1" ht="22.5" customHeight="1" x14ac:dyDescent="0.25">
      <c r="A3" s="238" t="s">
        <v>357</v>
      </c>
      <c r="B3" s="238" t="s">
        <v>412</v>
      </c>
      <c r="C3" s="238" t="s">
        <v>426</v>
      </c>
      <c r="D3" s="238"/>
      <c r="E3" s="238"/>
      <c r="F3" s="238"/>
      <c r="G3" s="238"/>
      <c r="H3" s="238"/>
      <c r="I3" s="238"/>
      <c r="J3" s="252" t="s">
        <v>378</v>
      </c>
      <c r="K3" s="238" t="s">
        <v>300</v>
      </c>
      <c r="L3" s="238"/>
      <c r="M3" s="238"/>
      <c r="N3" s="238"/>
      <c r="O3" s="238"/>
      <c r="P3" s="238"/>
      <c r="Q3" s="238"/>
      <c r="R3" s="238" t="s">
        <v>502</v>
      </c>
      <c r="S3" s="238"/>
      <c r="T3" s="238"/>
      <c r="U3" s="238"/>
      <c r="V3" s="238"/>
      <c r="W3" s="238"/>
      <c r="X3" s="238"/>
      <c r="Y3" s="238" t="s">
        <v>392</v>
      </c>
      <c r="AE3" s="249"/>
    </row>
    <row r="4" spans="1:36" s="18" customFormat="1" ht="69.75" customHeight="1" x14ac:dyDescent="0.25">
      <c r="A4" s="238"/>
      <c r="B4" s="238"/>
      <c r="C4" s="16" t="s">
        <v>414</v>
      </c>
      <c r="D4" s="16" t="s">
        <v>415</v>
      </c>
      <c r="E4" s="16" t="s">
        <v>416</v>
      </c>
      <c r="F4" s="16" t="s">
        <v>417</v>
      </c>
      <c r="G4" s="16" t="s">
        <v>418</v>
      </c>
      <c r="H4" s="16" t="s">
        <v>419</v>
      </c>
      <c r="I4" s="16" t="s">
        <v>413</v>
      </c>
      <c r="J4" s="252"/>
      <c r="K4" s="16" t="s">
        <v>414</v>
      </c>
      <c r="L4" s="16" t="s">
        <v>415</v>
      </c>
      <c r="M4" s="16" t="s">
        <v>416</v>
      </c>
      <c r="N4" s="16" t="s">
        <v>417</v>
      </c>
      <c r="O4" s="16" t="s">
        <v>418</v>
      </c>
      <c r="P4" s="16" t="s">
        <v>419</v>
      </c>
      <c r="Q4" s="16" t="s">
        <v>413</v>
      </c>
      <c r="R4" s="16" t="s">
        <v>414</v>
      </c>
      <c r="S4" s="16" t="s">
        <v>415</v>
      </c>
      <c r="T4" s="16" t="s">
        <v>416</v>
      </c>
      <c r="U4" s="16" t="s">
        <v>417</v>
      </c>
      <c r="V4" s="16" t="s">
        <v>418</v>
      </c>
      <c r="W4" s="16" t="s">
        <v>419</v>
      </c>
      <c r="X4" s="16" t="s">
        <v>413</v>
      </c>
      <c r="Y4" s="238"/>
      <c r="AE4" s="249"/>
    </row>
    <row r="5" spans="1:36" s="18" customFormat="1" ht="28.5" customHeight="1" x14ac:dyDescent="0.25">
      <c r="A5" s="16"/>
      <c r="B5" s="16" t="s">
        <v>19</v>
      </c>
      <c r="C5" s="6">
        <f t="shared" ref="C5:X5" si="0">C6+C15+C24</f>
        <v>60000</v>
      </c>
      <c r="D5" s="6">
        <f t="shared" si="0"/>
        <v>311831.09999999998</v>
      </c>
      <c r="E5" s="6">
        <f t="shared" si="0"/>
        <v>139187.26</v>
      </c>
      <c r="F5" s="6">
        <f t="shared" si="0"/>
        <v>78275</v>
      </c>
      <c r="G5" s="6">
        <f t="shared" si="0"/>
        <v>124000</v>
      </c>
      <c r="H5" s="6">
        <f t="shared" si="0"/>
        <v>108500</v>
      </c>
      <c r="I5" s="6">
        <f>I6+I15+I24</f>
        <v>821793.36</v>
      </c>
      <c r="J5" s="26">
        <f>J6+J15+J24</f>
        <v>357163</v>
      </c>
      <c r="K5" s="26"/>
      <c r="L5" s="26">
        <f t="shared" si="0"/>
        <v>133631</v>
      </c>
      <c r="M5" s="26">
        <f t="shared" si="0"/>
        <v>85411</v>
      </c>
      <c r="N5" s="26">
        <f t="shared" si="0"/>
        <v>77043.558000000005</v>
      </c>
      <c r="O5" s="26">
        <f t="shared" si="0"/>
        <v>48029</v>
      </c>
      <c r="P5" s="26">
        <f t="shared" si="0"/>
        <v>7816</v>
      </c>
      <c r="Q5" s="26">
        <f>Q6+Q15+Q24</f>
        <v>351930.55800000002</v>
      </c>
      <c r="R5" s="226"/>
      <c r="S5" s="26">
        <f t="shared" si="0"/>
        <v>128629.880297</v>
      </c>
      <c r="T5" s="26">
        <f t="shared" si="0"/>
        <v>79363.75</v>
      </c>
      <c r="U5" s="26">
        <f t="shared" si="0"/>
        <v>70825.623999999996</v>
      </c>
      <c r="V5" s="26">
        <f t="shared" si="0"/>
        <v>46714.688999999998</v>
      </c>
      <c r="W5" s="26">
        <f t="shared" si="0"/>
        <v>7814.5490000000009</v>
      </c>
      <c r="X5" s="26">
        <f t="shared" si="0"/>
        <v>333348.49229700002</v>
      </c>
      <c r="Y5" s="26">
        <f>Y6+Y15+Y24</f>
        <v>229909.44200000001</v>
      </c>
      <c r="Z5" s="14"/>
      <c r="AA5" s="14"/>
      <c r="AB5" s="14"/>
      <c r="AD5" s="227"/>
      <c r="AE5" s="14"/>
      <c r="AF5" s="14"/>
    </row>
    <row r="6" spans="1:36" s="18" customFormat="1" ht="80.25" customHeight="1" x14ac:dyDescent="0.3">
      <c r="A6" s="16" t="s">
        <v>20</v>
      </c>
      <c r="B6" s="228" t="s">
        <v>420</v>
      </c>
      <c r="C6" s="21"/>
      <c r="D6" s="26">
        <f t="shared" ref="D6:Y6" si="1">SUM(D7:D14)</f>
        <v>133695</v>
      </c>
      <c r="E6" s="26">
        <f t="shared" si="1"/>
        <v>86293</v>
      </c>
      <c r="F6" s="26">
        <f t="shared" si="1"/>
        <v>78275</v>
      </c>
      <c r="G6" s="26">
        <f t="shared" si="1"/>
        <v>84000</v>
      </c>
      <c r="H6" s="26">
        <f t="shared" si="1"/>
        <v>59700</v>
      </c>
      <c r="I6" s="26">
        <f t="shared" si="1"/>
        <v>441963</v>
      </c>
      <c r="J6" s="26">
        <f>SUM(J7:J14)</f>
        <v>357163</v>
      </c>
      <c r="K6" s="26"/>
      <c r="L6" s="26">
        <f t="shared" si="1"/>
        <v>133631</v>
      </c>
      <c r="M6" s="26">
        <f t="shared" si="1"/>
        <v>85411</v>
      </c>
      <c r="N6" s="26">
        <f t="shared" si="1"/>
        <v>77043.558000000005</v>
      </c>
      <c r="O6" s="26">
        <f t="shared" si="1"/>
        <v>48029</v>
      </c>
      <c r="P6" s="26">
        <f t="shared" si="1"/>
        <v>7816</v>
      </c>
      <c r="Q6" s="26">
        <f>SUM(Q7:Q14)</f>
        <v>351930.55800000002</v>
      </c>
      <c r="R6" s="21"/>
      <c r="S6" s="6">
        <f t="shared" si="1"/>
        <v>128629.880297</v>
      </c>
      <c r="T6" s="6">
        <f t="shared" si="1"/>
        <v>79363.75</v>
      </c>
      <c r="U6" s="6">
        <f t="shared" si="1"/>
        <v>70825.623999999996</v>
      </c>
      <c r="V6" s="6">
        <f t="shared" si="1"/>
        <v>46714.688999999998</v>
      </c>
      <c r="W6" s="6">
        <f t="shared" si="1"/>
        <v>7814.5490000000009</v>
      </c>
      <c r="X6" s="6">
        <f t="shared" si="1"/>
        <v>333348.49229700002</v>
      </c>
      <c r="Y6" s="6">
        <f t="shared" si="1"/>
        <v>1143.4419999999991</v>
      </c>
      <c r="AA6" s="229"/>
      <c r="AE6" s="15"/>
    </row>
    <row r="7" spans="1:36" ht="27" customHeight="1" x14ac:dyDescent="0.25">
      <c r="A7" s="17">
        <v>1</v>
      </c>
      <c r="B7" s="2" t="s">
        <v>359</v>
      </c>
      <c r="C7" s="9"/>
      <c r="D7" s="13">
        <v>41850</v>
      </c>
      <c r="E7" s="13">
        <v>20090</v>
      </c>
      <c r="F7" s="13"/>
      <c r="G7" s="13">
        <v>10675</v>
      </c>
      <c r="H7" s="13">
        <v>13950</v>
      </c>
      <c r="I7" s="13">
        <v>86565</v>
      </c>
      <c r="J7" s="13">
        <v>69690</v>
      </c>
      <c r="K7" s="13"/>
      <c r="L7" s="13">
        <f>'B4_Vung Che'!AA9</f>
        <v>41850</v>
      </c>
      <c r="M7" s="13">
        <f>'B5_Vung Lua'!AD10+'B5_Vung Lua'!AD28</f>
        <v>20090</v>
      </c>
      <c r="N7" s="13"/>
      <c r="O7" s="13">
        <f>'B7_Vung Cay que'!S10+'B7_Vung Cay que'!S25</f>
        <v>5425</v>
      </c>
      <c r="P7" s="13">
        <f>'B8_Vung cay go lon'!Y10</f>
        <v>2170</v>
      </c>
      <c r="Q7" s="13">
        <f>SUM(K7:P7)</f>
        <v>69535</v>
      </c>
      <c r="R7" s="20"/>
      <c r="S7" s="9">
        <f>'B4_Vung Che'!AF9</f>
        <v>41811.063096999998</v>
      </c>
      <c r="T7" s="9">
        <f>'B5_Vung Lua'!AI10+'B5_Vung Lua'!AI28</f>
        <v>19905.278999999999</v>
      </c>
      <c r="U7" s="20"/>
      <c r="V7" s="9">
        <f>'B7_Vung Cay que'!X10+'B7_Vung Cay que'!X25</f>
        <v>5373.1689999999999</v>
      </c>
      <c r="W7" s="9">
        <f>'B8_Vung cay go lon'!AC10</f>
        <v>2169.2820000000002</v>
      </c>
      <c r="X7" s="9">
        <f>SUM(R7:W7)</f>
        <v>69258.793097000002</v>
      </c>
      <c r="Y7" s="9">
        <f>'B8_Vung cay go lon'!AG11</f>
        <v>0</v>
      </c>
      <c r="Z7" s="15"/>
      <c r="AE7" s="15"/>
      <c r="AF7" s="230"/>
      <c r="AG7" s="230"/>
      <c r="AH7" s="231"/>
      <c r="AJ7" s="15"/>
    </row>
    <row r="8" spans="1:36" ht="27" customHeight="1" x14ac:dyDescent="0.25">
      <c r="A8" s="17">
        <v>2</v>
      </c>
      <c r="B8" s="2" t="s">
        <v>360</v>
      </c>
      <c r="C8" s="9"/>
      <c r="D8" s="13">
        <v>10150</v>
      </c>
      <c r="E8" s="13">
        <v>12500</v>
      </c>
      <c r="F8" s="13">
        <v>20150</v>
      </c>
      <c r="G8" s="13">
        <v>16275</v>
      </c>
      <c r="H8" s="13">
        <v>13950</v>
      </c>
      <c r="I8" s="13">
        <v>73025</v>
      </c>
      <c r="J8" s="13">
        <v>61400</v>
      </c>
      <c r="K8" s="13"/>
      <c r="L8" s="13">
        <f>'B4_Vung Che'!AA13</f>
        <v>10150</v>
      </c>
      <c r="M8" s="13">
        <f>'B5_Vung Lua'!AD13+'B5_Vung Lua'!AD31</f>
        <v>12500</v>
      </c>
      <c r="N8" s="13">
        <f>'B6_Vung CAQ'!U9</f>
        <v>19780</v>
      </c>
      <c r="O8" s="13">
        <f>'B7_Vung Cay que'!S12+'B7_Vung Cay que'!S27</f>
        <v>16275</v>
      </c>
      <c r="P8" s="13">
        <f>'B8_Vung cay go lon'!Y12</f>
        <v>1831</v>
      </c>
      <c r="Q8" s="13">
        <f t="shared" ref="Q8:Q14" si="2">SUM(K8:P8)</f>
        <v>60536</v>
      </c>
      <c r="R8" s="20"/>
      <c r="S8" s="9">
        <f>'B4_Vung Che'!AF13</f>
        <v>9870.8860000000004</v>
      </c>
      <c r="T8" s="9">
        <f>'B5_Vung Lua'!AI13+'B5_Vung Lua'!AI31</f>
        <v>12140.67</v>
      </c>
      <c r="U8" s="9">
        <f>'B6_Vung CAQ'!Z9</f>
        <v>19778.245999999999</v>
      </c>
      <c r="V8" s="9">
        <f>'B7_Vung Cay que'!X12+'B7_Vung Cay que'!X27</f>
        <v>15199.891000000001</v>
      </c>
      <c r="W8" s="9">
        <f>'B8_Vung cay go lon'!AC12</f>
        <v>1830.568</v>
      </c>
      <c r="X8" s="9">
        <f t="shared" ref="X8:X14" si="3">SUM(R8:W8)</f>
        <v>58820.260999999999</v>
      </c>
      <c r="Y8" s="9">
        <f>'B6_Vung CAQ'!AD10+'B6_Vung CAQ'!AD11+'B8_Vung cay go lon'!AG13</f>
        <v>370</v>
      </c>
      <c r="AE8" s="15"/>
      <c r="AH8" s="15"/>
    </row>
    <row r="9" spans="1:36" ht="27" customHeight="1" x14ac:dyDescent="0.25">
      <c r="A9" s="17">
        <v>3</v>
      </c>
      <c r="B9" s="2" t="s">
        <v>362</v>
      </c>
      <c r="C9" s="9"/>
      <c r="D9" s="13">
        <v>9545</v>
      </c>
      <c r="E9" s="13">
        <v>10875</v>
      </c>
      <c r="F9" s="13">
        <v>2325</v>
      </c>
      <c r="G9" s="13"/>
      <c r="H9" s="13">
        <v>4575</v>
      </c>
      <c r="I9" s="13">
        <v>27320</v>
      </c>
      <c r="J9" s="13">
        <v>25070</v>
      </c>
      <c r="K9" s="13"/>
      <c r="L9" s="13">
        <f>'B4_Vung Che'!AA17</f>
        <v>9545</v>
      </c>
      <c r="M9" s="13">
        <f>'B5_Vung Lua'!AD15</f>
        <v>10875</v>
      </c>
      <c r="N9" s="13">
        <f>'B6_Vung CAQ'!U12</f>
        <v>2237</v>
      </c>
      <c r="O9" s="13"/>
      <c r="P9" s="13"/>
      <c r="Q9" s="13">
        <f t="shared" si="2"/>
        <v>22657</v>
      </c>
      <c r="R9" s="20"/>
      <c r="S9" s="9">
        <f>'B4_Vung Che'!AF17</f>
        <v>9279.56</v>
      </c>
      <c r="T9" s="9">
        <f>'B5_Vung Lua'!AI15</f>
        <v>10375.736999999999</v>
      </c>
      <c r="U9" s="9">
        <f>'B6_Vung CAQ'!Z12</f>
        <v>2236.3180000000002</v>
      </c>
      <c r="V9" s="20"/>
      <c r="W9" s="20"/>
      <c r="X9" s="9">
        <f t="shared" si="3"/>
        <v>21891.614999999998</v>
      </c>
      <c r="Y9" s="13">
        <f>'B6_Vung CAQ'!AD13</f>
        <v>0</v>
      </c>
      <c r="AE9" s="231"/>
      <c r="AF9" s="230"/>
      <c r="AG9" s="230"/>
      <c r="AH9" s="231"/>
    </row>
    <row r="10" spans="1:36" ht="25.5" customHeight="1" x14ac:dyDescent="0.25">
      <c r="A10" s="17">
        <v>4</v>
      </c>
      <c r="B10" s="2" t="s">
        <v>358</v>
      </c>
      <c r="C10" s="9"/>
      <c r="D10" s="13">
        <v>9100</v>
      </c>
      <c r="E10" s="13">
        <v>13300</v>
      </c>
      <c r="F10" s="13"/>
      <c r="G10" s="13"/>
      <c r="H10" s="13"/>
      <c r="I10" s="13">
        <v>22400</v>
      </c>
      <c r="J10" s="13">
        <v>22400</v>
      </c>
      <c r="K10" s="13"/>
      <c r="L10" s="13">
        <f>'B4_Vung Che'!AA23</f>
        <v>9036</v>
      </c>
      <c r="M10" s="13">
        <f>'B5_Vung Lua'!AD17</f>
        <v>12418</v>
      </c>
      <c r="N10" s="13"/>
      <c r="O10" s="13"/>
      <c r="P10" s="13"/>
      <c r="Q10" s="13">
        <f t="shared" si="2"/>
        <v>21454</v>
      </c>
      <c r="R10" s="20"/>
      <c r="S10" s="9">
        <f>'B4_Vung Che'!AF23</f>
        <v>5976</v>
      </c>
      <c r="T10" s="9">
        <f>'B5_Vung Lua'!AI17</f>
        <v>12418</v>
      </c>
      <c r="U10" s="20"/>
      <c r="V10" s="20"/>
      <c r="W10" s="20"/>
      <c r="X10" s="9">
        <f t="shared" si="3"/>
        <v>18394</v>
      </c>
      <c r="Y10" s="9">
        <f>'B4_Vung Che'!AJ24+'B5_Vung Lua'!AM18</f>
        <v>0</v>
      </c>
      <c r="AH10" s="15"/>
    </row>
    <row r="11" spans="1:36" ht="26.25" customHeight="1" x14ac:dyDescent="0.25">
      <c r="A11" s="17">
        <v>5</v>
      </c>
      <c r="B11" s="2" t="s">
        <v>364</v>
      </c>
      <c r="C11" s="9"/>
      <c r="D11" s="13">
        <v>63050</v>
      </c>
      <c r="E11" s="13">
        <v>13225</v>
      </c>
      <c r="F11" s="13">
        <v>38750</v>
      </c>
      <c r="G11" s="13">
        <v>6850</v>
      </c>
      <c r="H11" s="13"/>
      <c r="I11" s="13">
        <v>121875</v>
      </c>
      <c r="J11" s="13">
        <v>118125</v>
      </c>
      <c r="K11" s="13"/>
      <c r="L11" s="13">
        <f>'B4_Vung Che'!AA25</f>
        <v>63050</v>
      </c>
      <c r="M11" s="13">
        <f>'B5_Vung Lua'!AD19+'B5_Vung Lua'!AD33</f>
        <v>13225</v>
      </c>
      <c r="N11" s="13">
        <f>'B6_Vung CAQ'!U14</f>
        <v>38331</v>
      </c>
      <c r="O11" s="13">
        <f>'B7_Vung Cay que'!S15+'B7_Vung Cay que'!S29</f>
        <v>3100</v>
      </c>
      <c r="P11" s="13"/>
      <c r="Q11" s="13">
        <f t="shared" si="2"/>
        <v>117706</v>
      </c>
      <c r="R11" s="20"/>
      <c r="S11" s="9">
        <f>'B4_Vung Che'!AF25</f>
        <v>61692.371199999994</v>
      </c>
      <c r="T11" s="9">
        <f>'B5_Vung Lua'!AI19+'B5_Vung Lua'!AI33</f>
        <v>8501.348</v>
      </c>
      <c r="U11" s="9">
        <f>'B6_Vung CAQ'!Z14</f>
        <v>35021.555</v>
      </c>
      <c r="V11" s="9">
        <f>'B7_Vung Cay que'!X15+'B7_Vung Cay que'!X29</f>
        <v>2872.5509999999999</v>
      </c>
      <c r="W11" s="20"/>
      <c r="X11" s="9">
        <f t="shared" si="3"/>
        <v>108087.82519999999</v>
      </c>
      <c r="Y11" s="9">
        <f>'B6_Vung CAQ'!AD15+'B6_Vung CAQ'!AD16</f>
        <v>419</v>
      </c>
      <c r="AH11" s="15"/>
    </row>
    <row r="12" spans="1:36" ht="24.75" customHeight="1" x14ac:dyDescent="0.25">
      <c r="A12" s="17">
        <v>6</v>
      </c>
      <c r="B12" s="2" t="s">
        <v>365</v>
      </c>
      <c r="C12" s="9"/>
      <c r="D12" s="13"/>
      <c r="E12" s="13">
        <v>4600</v>
      </c>
      <c r="F12" s="13">
        <v>9300</v>
      </c>
      <c r="G12" s="13">
        <v>20600</v>
      </c>
      <c r="H12" s="13">
        <v>17375</v>
      </c>
      <c r="I12" s="13">
        <v>51875</v>
      </c>
      <c r="J12" s="13">
        <v>28625</v>
      </c>
      <c r="K12" s="13"/>
      <c r="L12" s="13"/>
      <c r="M12" s="13">
        <f>'B5_Vung Lua'!AD21</f>
        <v>4600</v>
      </c>
      <c r="N12" s="13">
        <f>'B6_Vung CAQ'!U17</f>
        <v>8945.5580000000009</v>
      </c>
      <c r="O12" s="13">
        <f>'B7_Vung Cay que'!S17+'B7_Vung Cay que'!S31</f>
        <v>10850</v>
      </c>
      <c r="P12" s="13">
        <f>'B8_Vung cay go lon'!Y16</f>
        <v>3815</v>
      </c>
      <c r="Q12" s="13">
        <f t="shared" si="2"/>
        <v>28210.558000000001</v>
      </c>
      <c r="R12" s="20"/>
      <c r="S12" s="20"/>
      <c r="T12" s="9">
        <f>'B5_Vung Lua'!AI21</f>
        <v>4614.8540000000003</v>
      </c>
      <c r="U12" s="9">
        <f>'B6_Vung CAQ'!Z18</f>
        <v>8945.1679999999997</v>
      </c>
      <c r="V12" s="9">
        <f>'B7_Vung Cay que'!X17+'B7_Vung Cay que'!X31</f>
        <v>11528.817000000001</v>
      </c>
      <c r="W12" s="9">
        <f>'B8_Vung cay go lon'!AC16</f>
        <v>3814.6990000000001</v>
      </c>
      <c r="X12" s="9">
        <f t="shared" si="3"/>
        <v>28903.538</v>
      </c>
      <c r="Y12" s="9">
        <f>'B6_Vung CAQ'!AD18+'B8_Vung cay go lon'!AG17</f>
        <v>354.4419999999991</v>
      </c>
      <c r="AH12" s="15"/>
    </row>
    <row r="13" spans="1:36" ht="24.75" customHeight="1" x14ac:dyDescent="0.25">
      <c r="A13" s="17">
        <v>7</v>
      </c>
      <c r="B13" s="2" t="s">
        <v>366</v>
      </c>
      <c r="C13" s="9"/>
      <c r="D13" s="13"/>
      <c r="E13" s="13">
        <v>4103</v>
      </c>
      <c r="F13" s="13">
        <v>7750</v>
      </c>
      <c r="G13" s="13">
        <v>9150</v>
      </c>
      <c r="H13" s="13">
        <v>1550</v>
      </c>
      <c r="I13" s="13">
        <v>22553</v>
      </c>
      <c r="J13" s="13">
        <v>18053</v>
      </c>
      <c r="K13" s="13"/>
      <c r="L13" s="13"/>
      <c r="M13" s="13">
        <f>'B5_Vung Lua'!AD23</f>
        <v>4103</v>
      </c>
      <c r="N13" s="13">
        <f>'B6_Vung CAQ'!U19</f>
        <v>7750</v>
      </c>
      <c r="O13" s="13">
        <f>'B7_Vung Cay que'!S19+'B7_Vung Cay que'!S33</f>
        <v>6179</v>
      </c>
      <c r="P13" s="13"/>
      <c r="Q13" s="13">
        <f t="shared" si="2"/>
        <v>18032</v>
      </c>
      <c r="R13" s="20"/>
      <c r="S13" s="20"/>
      <c r="T13" s="9">
        <f>'B5_Vung Lua'!AI23</f>
        <v>4081</v>
      </c>
      <c r="U13" s="9">
        <f>'B6_Vung CAQ'!Z19</f>
        <v>4844.3370000000004</v>
      </c>
      <c r="V13" s="9">
        <f>'B7_Vung Cay que'!X19+'B7_Vung Cay que'!X33</f>
        <v>5656.4130000000005</v>
      </c>
      <c r="W13" s="20"/>
      <c r="X13" s="9">
        <f t="shared" si="3"/>
        <v>14581.75</v>
      </c>
      <c r="Y13" s="9">
        <f>'B6_Vung CAQ'!AD20</f>
        <v>0</v>
      </c>
      <c r="Z13" s="15"/>
      <c r="AH13" s="15"/>
    </row>
    <row r="14" spans="1:36" ht="25.5" customHeight="1" x14ac:dyDescent="0.25">
      <c r="A14" s="17">
        <v>8</v>
      </c>
      <c r="B14" s="2" t="s">
        <v>367</v>
      </c>
      <c r="C14" s="9"/>
      <c r="D14" s="13"/>
      <c r="E14" s="13">
        <v>7600</v>
      </c>
      <c r="F14" s="13"/>
      <c r="G14" s="13">
        <v>20450</v>
      </c>
      <c r="H14" s="13">
        <v>8300</v>
      </c>
      <c r="I14" s="13">
        <v>36350</v>
      </c>
      <c r="J14" s="13">
        <v>13800</v>
      </c>
      <c r="K14" s="13"/>
      <c r="L14" s="13"/>
      <c r="M14" s="13">
        <f>'B5_Vung Lua'!AD25</f>
        <v>7600</v>
      </c>
      <c r="N14" s="13"/>
      <c r="O14" s="13">
        <f>'B7_Vung Cay que'!S21+'B7_Vung Cay que'!S35</f>
        <v>6200</v>
      </c>
      <c r="P14" s="13"/>
      <c r="Q14" s="13">
        <f t="shared" si="2"/>
        <v>13800</v>
      </c>
      <c r="R14" s="20"/>
      <c r="S14" s="20"/>
      <c r="T14" s="9">
        <f>'B5_Vung Lua'!AI25</f>
        <v>7326.8620000000001</v>
      </c>
      <c r="U14" s="20"/>
      <c r="V14" s="9">
        <f>'B7_Vung Cay que'!X21+'B7_Vung Cay que'!X35</f>
        <v>6083.848</v>
      </c>
      <c r="W14" s="20"/>
      <c r="X14" s="9">
        <f t="shared" si="3"/>
        <v>13410.71</v>
      </c>
      <c r="Y14" s="9">
        <f>'B5_Vung Lua'!AM26+'B7_Vung Cay que'!AB22+'B7_Vung Cay que'!AB36</f>
        <v>0</v>
      </c>
      <c r="AH14" s="15"/>
    </row>
    <row r="15" spans="1:36" ht="26.25" customHeight="1" x14ac:dyDescent="0.25">
      <c r="A15" s="16" t="s">
        <v>199</v>
      </c>
      <c r="B15" s="228" t="s">
        <v>421</v>
      </c>
      <c r="C15" s="6"/>
      <c r="D15" s="6">
        <f>SUM(D16:D23)</f>
        <v>177357</v>
      </c>
      <c r="E15" s="6">
        <f>SUM(E16:E23)</f>
        <v>51409</v>
      </c>
      <c r="F15" s="6"/>
      <c r="G15" s="6"/>
      <c r="H15" s="6"/>
      <c r="I15" s="6">
        <f>SUM(I16:I23)</f>
        <v>228766</v>
      </c>
      <c r="J15" s="26"/>
      <c r="K15" s="13"/>
      <c r="L15" s="13"/>
      <c r="M15" s="13"/>
      <c r="N15" s="13"/>
      <c r="O15" s="13"/>
      <c r="P15" s="13"/>
      <c r="Q15" s="36"/>
      <c r="R15" s="20"/>
      <c r="S15" s="20"/>
      <c r="T15" s="20"/>
      <c r="U15" s="20"/>
      <c r="V15" s="20"/>
      <c r="W15" s="20"/>
      <c r="X15" s="20"/>
      <c r="Y15" s="6">
        <f>SUM(Y16:Y23)</f>
        <v>228766</v>
      </c>
    </row>
    <row r="16" spans="1:36" ht="26.25" customHeight="1" x14ac:dyDescent="0.25">
      <c r="A16" s="17">
        <v>1</v>
      </c>
      <c r="B16" s="2" t="s">
        <v>359</v>
      </c>
      <c r="C16" s="9"/>
      <c r="D16" s="9"/>
      <c r="E16" s="9">
        <f>'[1]B03. KP vùng lúa'!O9+'[1]B03. KP vùng lúa'!O63</f>
        <v>51409</v>
      </c>
      <c r="F16" s="9"/>
      <c r="G16" s="9"/>
      <c r="H16" s="9"/>
      <c r="I16" s="9">
        <f t="shared" ref="I16:I18" si="4">C16+D16+E16+F16+G16+H16</f>
        <v>51409</v>
      </c>
      <c r="J16" s="9"/>
      <c r="K16" s="9"/>
      <c r="L16" s="9"/>
      <c r="M16" s="9"/>
      <c r="N16" s="9"/>
      <c r="O16" s="9"/>
      <c r="P16" s="9"/>
      <c r="Q16" s="9"/>
      <c r="R16" s="20"/>
      <c r="S16" s="20"/>
      <c r="T16" s="20"/>
      <c r="U16" s="20"/>
      <c r="V16" s="20"/>
      <c r="W16" s="20"/>
      <c r="X16" s="20"/>
      <c r="Y16" s="9">
        <f>I16</f>
        <v>51409</v>
      </c>
    </row>
    <row r="17" spans="1:25" ht="26.25" customHeight="1" x14ac:dyDescent="0.25">
      <c r="A17" s="17">
        <v>2</v>
      </c>
      <c r="B17" s="2" t="s">
        <v>360</v>
      </c>
      <c r="C17" s="9"/>
      <c r="D17" s="9">
        <f>'[1]B02. KP Chè'!O19</f>
        <v>67777</v>
      </c>
      <c r="E17" s="9"/>
      <c r="F17" s="9"/>
      <c r="G17" s="9"/>
      <c r="H17" s="9"/>
      <c r="I17" s="9">
        <f t="shared" si="4"/>
        <v>67777</v>
      </c>
      <c r="J17" s="9"/>
      <c r="K17" s="9"/>
      <c r="L17" s="9"/>
      <c r="M17" s="9"/>
      <c r="N17" s="9"/>
      <c r="O17" s="9"/>
      <c r="P17" s="9"/>
      <c r="Q17" s="20"/>
      <c r="R17" s="20"/>
      <c r="S17" s="20"/>
      <c r="T17" s="20"/>
      <c r="U17" s="20"/>
      <c r="V17" s="20"/>
      <c r="W17" s="20"/>
      <c r="X17" s="20"/>
      <c r="Y17" s="9">
        <f>I17</f>
        <v>67777</v>
      </c>
    </row>
    <row r="18" spans="1:25" ht="26.25" customHeight="1" x14ac:dyDescent="0.25">
      <c r="A18" s="17">
        <v>3</v>
      </c>
      <c r="B18" s="2" t="s">
        <v>362</v>
      </c>
      <c r="C18" s="9"/>
      <c r="D18" s="9">
        <f>'[1]B02. KP Chè'!O28</f>
        <v>109580</v>
      </c>
      <c r="E18" s="9"/>
      <c r="F18" s="9"/>
      <c r="G18" s="9"/>
      <c r="H18" s="9"/>
      <c r="I18" s="9">
        <f t="shared" si="4"/>
        <v>109580</v>
      </c>
      <c r="J18" s="9"/>
      <c r="K18" s="9"/>
      <c r="L18" s="9"/>
      <c r="M18" s="9"/>
      <c r="N18" s="9"/>
      <c r="O18" s="9"/>
      <c r="P18" s="9"/>
      <c r="Q18" s="20"/>
      <c r="R18" s="20"/>
      <c r="S18" s="20"/>
      <c r="T18" s="20"/>
      <c r="U18" s="20"/>
      <c r="V18" s="20"/>
      <c r="W18" s="20"/>
      <c r="X18" s="20"/>
      <c r="Y18" s="9">
        <f>I18</f>
        <v>109580</v>
      </c>
    </row>
    <row r="19" spans="1:25" ht="26.25" hidden="1" customHeight="1" x14ac:dyDescent="0.25">
      <c r="A19" s="17">
        <v>4</v>
      </c>
      <c r="B19" s="2" t="s">
        <v>358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20"/>
      <c r="R19" s="20"/>
      <c r="S19" s="20"/>
      <c r="T19" s="20"/>
      <c r="U19" s="20"/>
      <c r="V19" s="20"/>
      <c r="W19" s="20"/>
      <c r="X19" s="20"/>
      <c r="Y19" s="20"/>
    </row>
    <row r="20" spans="1:25" ht="26.25" hidden="1" customHeight="1" x14ac:dyDescent="0.25">
      <c r="A20" s="17">
        <v>5</v>
      </c>
      <c r="B20" s="2" t="s">
        <v>364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20"/>
      <c r="R20" s="20"/>
      <c r="S20" s="20"/>
      <c r="T20" s="20"/>
      <c r="U20" s="20"/>
      <c r="V20" s="20"/>
      <c r="W20" s="20"/>
      <c r="X20" s="20"/>
      <c r="Y20" s="20"/>
    </row>
    <row r="21" spans="1:25" ht="26.25" hidden="1" customHeight="1" x14ac:dyDescent="0.25">
      <c r="A21" s="17">
        <v>6</v>
      </c>
      <c r="B21" s="2" t="s">
        <v>365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20"/>
      <c r="R21" s="20"/>
      <c r="S21" s="20"/>
      <c r="T21" s="20"/>
      <c r="U21" s="20"/>
      <c r="V21" s="20"/>
      <c r="W21" s="20"/>
      <c r="X21" s="20"/>
      <c r="Y21" s="20"/>
    </row>
    <row r="22" spans="1:25" ht="26.25" hidden="1" customHeight="1" x14ac:dyDescent="0.25">
      <c r="A22" s="17">
        <v>7</v>
      </c>
      <c r="B22" s="2" t="s">
        <v>366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20"/>
      <c r="R22" s="20"/>
      <c r="S22" s="20"/>
      <c r="T22" s="20"/>
      <c r="U22" s="20"/>
      <c r="V22" s="20"/>
      <c r="W22" s="20"/>
      <c r="X22" s="20"/>
      <c r="Y22" s="20"/>
    </row>
    <row r="23" spans="1:25" ht="26.25" hidden="1" customHeight="1" x14ac:dyDescent="0.25">
      <c r="A23" s="17">
        <v>8</v>
      </c>
      <c r="B23" s="2" t="s">
        <v>367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20"/>
      <c r="R23" s="20"/>
      <c r="S23" s="20"/>
      <c r="T23" s="20"/>
      <c r="U23" s="20"/>
      <c r="V23" s="20"/>
      <c r="W23" s="20"/>
      <c r="X23" s="20"/>
      <c r="Y23" s="20"/>
    </row>
    <row r="24" spans="1:25" s="18" customFormat="1" ht="26.25" customHeight="1" x14ac:dyDescent="0.25">
      <c r="A24" s="16" t="s">
        <v>422</v>
      </c>
      <c r="B24" s="228" t="s">
        <v>423</v>
      </c>
      <c r="C24" s="6">
        <f>C25+C35</f>
        <v>60000</v>
      </c>
      <c r="D24" s="6">
        <f>D25+D35</f>
        <v>779.1</v>
      </c>
      <c r="E24" s="6">
        <f>E25+E35</f>
        <v>1485.26</v>
      </c>
      <c r="F24" s="6"/>
      <c r="G24" s="6">
        <f>G25+G35</f>
        <v>40000</v>
      </c>
      <c r="H24" s="6">
        <f>H25+H35</f>
        <v>48800</v>
      </c>
      <c r="I24" s="6">
        <f>I25+I35</f>
        <v>151064.35999999999</v>
      </c>
      <c r="J24" s="6"/>
      <c r="K24" s="6"/>
      <c r="L24" s="6"/>
      <c r="M24" s="6"/>
      <c r="N24" s="6"/>
      <c r="O24" s="6"/>
      <c r="P24" s="6"/>
      <c r="Q24" s="21"/>
      <c r="R24" s="21"/>
      <c r="S24" s="21"/>
      <c r="T24" s="21"/>
      <c r="U24" s="21"/>
      <c r="V24" s="21"/>
      <c r="W24" s="21"/>
      <c r="X24" s="21"/>
      <c r="Y24" s="21"/>
    </row>
    <row r="25" spans="1:25" s="18" customFormat="1" ht="49.5" customHeight="1" x14ac:dyDescent="0.25">
      <c r="A25" s="16" t="s">
        <v>0</v>
      </c>
      <c r="B25" s="228" t="s">
        <v>424</v>
      </c>
      <c r="C25" s="6">
        <f>SUM(C26:C34)</f>
        <v>60000</v>
      </c>
      <c r="D25" s="6"/>
      <c r="E25" s="6"/>
      <c r="F25" s="6"/>
      <c r="G25" s="6">
        <f>SUM(G26:G34)</f>
        <v>40000</v>
      </c>
      <c r="H25" s="6">
        <f>SUM(H26:H34)</f>
        <v>48800</v>
      </c>
      <c r="I25" s="6">
        <f>SUM(I26:I34)</f>
        <v>148800</v>
      </c>
      <c r="J25" s="6"/>
      <c r="K25" s="6"/>
      <c r="L25" s="6"/>
      <c r="M25" s="6"/>
      <c r="N25" s="6"/>
      <c r="O25" s="6"/>
      <c r="P25" s="6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26.25" customHeight="1" x14ac:dyDescent="0.25">
      <c r="A26" s="17">
        <v>1</v>
      </c>
      <c r="B26" s="2" t="s">
        <v>359</v>
      </c>
      <c r="C26" s="9">
        <f>'[1]B01. KP mắc ca'!K16</f>
        <v>9750</v>
      </c>
      <c r="D26" s="9"/>
      <c r="E26" s="9"/>
      <c r="F26" s="9"/>
      <c r="G26" s="9">
        <f>'[1]B05. Vùng quế'!M35</f>
        <v>5600</v>
      </c>
      <c r="H26" s="9">
        <f>'[1]B06. Cây gỗ lớn'!L20</f>
        <v>12400</v>
      </c>
      <c r="I26" s="9">
        <f t="shared" ref="I26:I35" si="5">C26+D26+E26+F26+G26+H26</f>
        <v>27750</v>
      </c>
      <c r="J26" s="9"/>
      <c r="K26" s="9"/>
      <c r="L26" s="9"/>
      <c r="M26" s="9"/>
      <c r="N26" s="9"/>
      <c r="O26" s="9"/>
      <c r="P26" s="9"/>
      <c r="Q26" s="20"/>
      <c r="R26" s="20"/>
      <c r="S26" s="20"/>
      <c r="T26" s="20"/>
      <c r="U26" s="20"/>
      <c r="V26" s="20"/>
      <c r="W26" s="20"/>
      <c r="X26" s="20"/>
      <c r="Y26" s="20"/>
    </row>
    <row r="27" spans="1:25" ht="26.25" customHeight="1" x14ac:dyDescent="0.25">
      <c r="A27" s="17">
        <v>2</v>
      </c>
      <c r="B27" s="2" t="s">
        <v>360</v>
      </c>
      <c r="C27" s="9">
        <f>'[1]B01. KP mắc ca'!K18</f>
        <v>16500</v>
      </c>
      <c r="D27" s="9"/>
      <c r="E27" s="9"/>
      <c r="F27" s="9"/>
      <c r="G27" s="9"/>
      <c r="H27" s="9">
        <f>'[1]B06. Cây gỗ lớn'!L24</f>
        <v>12400</v>
      </c>
      <c r="I27" s="9">
        <f>C27+D27+E27+F27+G27+H27</f>
        <v>28900</v>
      </c>
      <c r="J27" s="9"/>
      <c r="K27" s="9"/>
      <c r="L27" s="9"/>
      <c r="M27" s="9"/>
      <c r="N27" s="9"/>
      <c r="O27" s="9"/>
      <c r="P27" s="9"/>
      <c r="Q27" s="20"/>
      <c r="R27" s="20"/>
      <c r="S27" s="20"/>
      <c r="T27" s="20"/>
      <c r="U27" s="20"/>
      <c r="V27" s="20"/>
      <c r="W27" s="20"/>
      <c r="X27" s="20"/>
      <c r="Y27" s="20"/>
    </row>
    <row r="28" spans="1:25" ht="26.25" customHeight="1" x14ac:dyDescent="0.25">
      <c r="A28" s="17">
        <v>3</v>
      </c>
      <c r="B28" s="2" t="s">
        <v>362</v>
      </c>
      <c r="C28" s="9">
        <f>'[1]B01. KP mắc ca'!K20</f>
        <v>12000</v>
      </c>
      <c r="D28" s="9"/>
      <c r="E28" s="9"/>
      <c r="F28" s="9"/>
      <c r="G28" s="9"/>
      <c r="H28" s="9">
        <f>'[1]B06. Cây gỗ lớn'!L28</f>
        <v>2400</v>
      </c>
      <c r="I28" s="9">
        <f t="shared" si="5"/>
        <v>14400</v>
      </c>
      <c r="J28" s="9"/>
      <c r="K28" s="9"/>
      <c r="L28" s="9"/>
      <c r="M28" s="9"/>
      <c r="N28" s="9"/>
      <c r="O28" s="9"/>
      <c r="P28" s="9"/>
      <c r="Q28" s="20"/>
      <c r="R28" s="20"/>
      <c r="S28" s="20"/>
      <c r="T28" s="20"/>
      <c r="U28" s="20"/>
      <c r="V28" s="20"/>
      <c r="W28" s="20"/>
      <c r="X28" s="20"/>
      <c r="Y28" s="20"/>
    </row>
    <row r="29" spans="1:25" ht="26.25" hidden="1" customHeight="1" x14ac:dyDescent="0.25">
      <c r="A29" s="17">
        <v>4</v>
      </c>
      <c r="B29" s="2" t="s">
        <v>358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20"/>
      <c r="R29" s="20"/>
      <c r="S29" s="20"/>
      <c r="T29" s="20"/>
      <c r="U29" s="20"/>
      <c r="V29" s="20"/>
      <c r="W29" s="20"/>
      <c r="X29" s="20"/>
      <c r="Y29" s="20"/>
    </row>
    <row r="30" spans="1:25" ht="26.25" hidden="1" customHeight="1" x14ac:dyDescent="0.25">
      <c r="A30" s="17">
        <v>5</v>
      </c>
      <c r="B30" s="2" t="s">
        <v>364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20"/>
      <c r="R30" s="20"/>
      <c r="S30" s="20"/>
      <c r="T30" s="20"/>
      <c r="U30" s="20"/>
      <c r="V30" s="20"/>
      <c r="W30" s="20"/>
      <c r="X30" s="20"/>
      <c r="Y30" s="20"/>
    </row>
    <row r="31" spans="1:25" ht="26.25" customHeight="1" x14ac:dyDescent="0.25">
      <c r="A31" s="17">
        <v>4</v>
      </c>
      <c r="B31" s="2" t="s">
        <v>364</v>
      </c>
      <c r="C31" s="9">
        <f>'[1]B01. KP mắc ca'!K22</f>
        <v>9750</v>
      </c>
      <c r="D31" s="9"/>
      <c r="E31" s="9"/>
      <c r="F31" s="9"/>
      <c r="G31" s="9">
        <f>'[1]B05. Vùng quế'!M38</f>
        <v>4000</v>
      </c>
      <c r="H31" s="9"/>
      <c r="I31" s="9">
        <f t="shared" si="5"/>
        <v>13750</v>
      </c>
      <c r="J31" s="9"/>
      <c r="K31" s="9"/>
      <c r="L31" s="9"/>
      <c r="M31" s="9"/>
      <c r="N31" s="9"/>
      <c r="O31" s="9"/>
      <c r="P31" s="9"/>
      <c r="Q31" s="20"/>
      <c r="R31" s="20"/>
      <c r="S31" s="20"/>
      <c r="T31" s="20"/>
      <c r="U31" s="20"/>
      <c r="V31" s="20"/>
      <c r="W31" s="20"/>
      <c r="X31" s="20"/>
      <c r="Y31" s="20"/>
    </row>
    <row r="32" spans="1:25" ht="26.25" customHeight="1" x14ac:dyDescent="0.25">
      <c r="A32" s="17">
        <v>5</v>
      </c>
      <c r="B32" s="2" t="s">
        <v>365</v>
      </c>
      <c r="C32" s="9">
        <f>'[1]B01. KP mắc ca'!K24</f>
        <v>5625</v>
      </c>
      <c r="D32" s="9"/>
      <c r="E32" s="9"/>
      <c r="F32" s="9"/>
      <c r="G32" s="9">
        <f>'[1]B05. Vùng quế'!M43</f>
        <v>10400</v>
      </c>
      <c r="H32" s="9">
        <f>'[1]B06. Cây gỗ lớn'!L30</f>
        <v>14400</v>
      </c>
      <c r="I32" s="9">
        <f t="shared" si="5"/>
        <v>30425</v>
      </c>
      <c r="J32" s="9"/>
      <c r="K32" s="9"/>
      <c r="L32" s="9"/>
      <c r="M32" s="9"/>
      <c r="N32" s="9"/>
      <c r="O32" s="9"/>
      <c r="P32" s="9"/>
      <c r="Q32" s="20"/>
      <c r="R32" s="20"/>
      <c r="S32" s="20"/>
      <c r="T32" s="20"/>
      <c r="U32" s="20"/>
      <c r="V32" s="20"/>
      <c r="W32" s="20"/>
      <c r="X32" s="20"/>
      <c r="Y32" s="20"/>
    </row>
    <row r="33" spans="1:25" ht="26.25" customHeight="1" x14ac:dyDescent="0.25">
      <c r="A33" s="17">
        <v>6</v>
      </c>
      <c r="B33" s="2" t="s">
        <v>366</v>
      </c>
      <c r="C33" s="9"/>
      <c r="D33" s="9"/>
      <c r="E33" s="9"/>
      <c r="F33" s="9"/>
      <c r="G33" s="9">
        <f>'[1]B05. Vùng quế'!M46</f>
        <v>4800</v>
      </c>
      <c r="H33" s="9"/>
      <c r="I33" s="9">
        <f t="shared" si="5"/>
        <v>4800</v>
      </c>
      <c r="J33" s="9"/>
      <c r="K33" s="9"/>
      <c r="L33" s="9"/>
      <c r="M33" s="9"/>
      <c r="N33" s="9"/>
      <c r="O33" s="9"/>
      <c r="P33" s="9"/>
      <c r="Q33" s="20"/>
      <c r="R33" s="20"/>
      <c r="S33" s="20"/>
      <c r="T33" s="20"/>
      <c r="U33" s="20"/>
      <c r="V33" s="20"/>
      <c r="W33" s="20"/>
      <c r="X33" s="20"/>
      <c r="Y33" s="20"/>
    </row>
    <row r="34" spans="1:25" ht="26.25" customHeight="1" x14ac:dyDescent="0.25">
      <c r="A34" s="17">
        <v>7</v>
      </c>
      <c r="B34" s="2" t="s">
        <v>367</v>
      </c>
      <c r="C34" s="9">
        <f>'[1]B01. KP mắc ca'!K26</f>
        <v>6375</v>
      </c>
      <c r="D34" s="9"/>
      <c r="E34" s="9"/>
      <c r="F34" s="9"/>
      <c r="G34" s="9">
        <f>'[1]B05. Vùng quế'!M48</f>
        <v>15200</v>
      </c>
      <c r="H34" s="9">
        <f>'[1]B06. Cây gỗ lớn'!L34</f>
        <v>7200</v>
      </c>
      <c r="I34" s="9">
        <f t="shared" si="5"/>
        <v>28775</v>
      </c>
      <c r="J34" s="9"/>
      <c r="K34" s="9"/>
      <c r="L34" s="9"/>
      <c r="M34" s="9"/>
      <c r="N34" s="9"/>
      <c r="O34" s="9"/>
      <c r="P34" s="9"/>
      <c r="Q34" s="20"/>
      <c r="R34" s="20"/>
      <c r="S34" s="20"/>
      <c r="T34" s="20"/>
      <c r="U34" s="20"/>
      <c r="V34" s="20"/>
      <c r="W34" s="20"/>
      <c r="X34" s="20"/>
      <c r="Y34" s="20"/>
    </row>
    <row r="35" spans="1:25" s="18" customFormat="1" ht="27" customHeight="1" x14ac:dyDescent="0.25">
      <c r="A35" s="16" t="s">
        <v>1</v>
      </c>
      <c r="B35" s="228" t="s">
        <v>425</v>
      </c>
      <c r="C35" s="6"/>
      <c r="D35" s="6">
        <f>'[1]B02. KP Chè'!Q5</f>
        <v>779.1</v>
      </c>
      <c r="E35" s="6">
        <f>'[1]B03. KP vùng lúa'!Q7</f>
        <v>1485.26</v>
      </c>
      <c r="F35" s="6"/>
      <c r="G35" s="6"/>
      <c r="H35" s="6"/>
      <c r="I35" s="6">
        <f t="shared" si="5"/>
        <v>2264.36</v>
      </c>
      <c r="J35" s="6"/>
      <c r="K35" s="6"/>
      <c r="L35" s="6"/>
      <c r="M35" s="6"/>
      <c r="N35" s="6"/>
      <c r="O35" s="6"/>
      <c r="P35" s="6"/>
      <c r="Q35" s="21"/>
      <c r="R35" s="21"/>
      <c r="S35" s="21"/>
      <c r="T35" s="21"/>
      <c r="U35" s="21"/>
      <c r="V35" s="21"/>
      <c r="W35" s="21"/>
      <c r="X35" s="21"/>
      <c r="Y35" s="21"/>
    </row>
    <row r="36" spans="1:25" x14ac:dyDescent="0.25"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233"/>
      <c r="P36" s="234"/>
      <c r="Q36" s="235"/>
    </row>
    <row r="37" spans="1:25" x14ac:dyDescent="0.25"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233"/>
      <c r="P37" s="234"/>
      <c r="Q37" s="235"/>
    </row>
    <row r="38" spans="1:25" x14ac:dyDescent="0.25"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233"/>
      <c r="P38" s="234"/>
      <c r="Q38" s="235"/>
    </row>
    <row r="39" spans="1:25" x14ac:dyDescent="0.25">
      <c r="C39" s="15"/>
      <c r="D39" s="15"/>
      <c r="E39" s="15"/>
      <c r="F39" s="15"/>
      <c r="G39" s="15"/>
      <c r="H39" s="15"/>
      <c r="I39" s="15"/>
      <c r="J39" s="15"/>
      <c r="K39" s="236"/>
      <c r="L39" s="15"/>
      <c r="M39" s="15"/>
      <c r="N39" s="15"/>
      <c r="P39" s="234"/>
      <c r="Q39" s="235"/>
    </row>
    <row r="40" spans="1:25" x14ac:dyDescent="0.25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25" x14ac:dyDescent="0.25">
      <c r="C41" s="15"/>
      <c r="D41" s="15"/>
      <c r="E41" s="15"/>
      <c r="F41" s="15"/>
      <c r="G41" s="15"/>
      <c r="H41" s="15"/>
      <c r="I41" s="15"/>
      <c r="J41" s="15"/>
      <c r="K41" s="15"/>
      <c r="L41" s="237"/>
      <c r="M41" s="15"/>
      <c r="N41" s="15"/>
      <c r="Q41" s="15"/>
    </row>
    <row r="42" spans="1:25" x14ac:dyDescent="0.25"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25" x14ac:dyDescent="0.25"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25" x14ac:dyDescent="0.25"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7" spans="1:25" x14ac:dyDescent="0.25">
      <c r="H47" s="299"/>
      <c r="I47" s="299"/>
      <c r="J47" s="299"/>
      <c r="K47" s="299"/>
      <c r="L47" s="299"/>
      <c r="M47" s="299"/>
      <c r="N47" s="299"/>
      <c r="O47" s="299"/>
      <c r="P47" s="299"/>
      <c r="Q47" s="299"/>
    </row>
    <row r="48" spans="1:25" x14ac:dyDescent="0.25">
      <c r="H48" s="299"/>
      <c r="I48" s="299"/>
      <c r="L48" s="299"/>
      <c r="M48" s="299"/>
    </row>
    <row r="50" spans="8:17" x14ac:dyDescent="0.25">
      <c r="N50" s="15"/>
      <c r="O50" s="15"/>
      <c r="P50" s="15"/>
      <c r="Q50" s="15"/>
    </row>
    <row r="51" spans="8:17" x14ac:dyDescent="0.25">
      <c r="N51" s="15"/>
      <c r="O51" s="15"/>
      <c r="P51" s="15"/>
      <c r="Q51" s="15"/>
    </row>
    <row r="52" spans="8:17" x14ac:dyDescent="0.25">
      <c r="N52" s="15"/>
      <c r="O52" s="15"/>
      <c r="P52" s="15"/>
      <c r="Q52" s="15"/>
    </row>
    <row r="53" spans="8:17" x14ac:dyDescent="0.25">
      <c r="N53" s="15"/>
      <c r="O53" s="15"/>
      <c r="P53" s="15"/>
      <c r="Q53" s="15"/>
    </row>
    <row r="54" spans="8:17" x14ac:dyDescent="0.25">
      <c r="N54" s="15"/>
      <c r="O54" s="15"/>
      <c r="P54" s="15"/>
      <c r="Q54" s="15"/>
    </row>
    <row r="55" spans="8:17" x14ac:dyDescent="0.25">
      <c r="N55" s="15"/>
      <c r="O55" s="15"/>
      <c r="P55" s="15"/>
      <c r="Q55" s="15"/>
    </row>
    <row r="56" spans="8:17" x14ac:dyDescent="0.25">
      <c r="N56" s="15"/>
      <c r="O56" s="15"/>
      <c r="P56" s="15"/>
      <c r="Q56" s="15"/>
    </row>
    <row r="57" spans="8:17" x14ac:dyDescent="0.25"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8:17" x14ac:dyDescent="0.25"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8:17" x14ac:dyDescent="0.25"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8:17" x14ac:dyDescent="0.25"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8:17" x14ac:dyDescent="0.25"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8:17" x14ac:dyDescent="0.25"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8:17" x14ac:dyDescent="0.25"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8:17" x14ac:dyDescent="0.25">
      <c r="H64" s="15"/>
      <c r="I64" s="15"/>
      <c r="J64" s="15"/>
      <c r="K64" s="15"/>
      <c r="L64" s="15"/>
      <c r="M64" s="15"/>
      <c r="N64" s="15"/>
      <c r="O64" s="15"/>
      <c r="P64" s="15"/>
      <c r="Q64" s="15"/>
    </row>
  </sheetData>
  <mergeCells count="15">
    <mergeCell ref="AE3:AE4"/>
    <mergeCell ref="R3:X3"/>
    <mergeCell ref="Y3:Y4"/>
    <mergeCell ref="H48:I48"/>
    <mergeCell ref="L48:M48"/>
    <mergeCell ref="C3:I3"/>
    <mergeCell ref="K3:Q3"/>
    <mergeCell ref="J3:J4"/>
    <mergeCell ref="H47:M47"/>
    <mergeCell ref="N47:Q47"/>
    <mergeCell ref="A1:Y1"/>
    <mergeCell ref="X2:Y2"/>
    <mergeCell ref="H2:I2"/>
    <mergeCell ref="A3:A4"/>
    <mergeCell ref="B3:B4"/>
  </mergeCells>
  <printOptions horizontalCentered="1"/>
  <pageMargins left="0.196850393700787" right="0.196850393700787" top="0.511811023622047" bottom="0.511811023622047" header="0.31496062992126" footer="0.31496062992126"/>
  <pageSetup paperSize="9" scale="60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5"/>
  <sheetViews>
    <sheetView workbookViewId="0">
      <selection activeCell="M15" sqref="M15"/>
    </sheetView>
  </sheetViews>
  <sheetFormatPr defaultColWidth="9" defaultRowHeight="15.75" x14ac:dyDescent="0.25"/>
  <cols>
    <col min="1" max="1" width="5.875" style="22" customWidth="1"/>
    <col min="2" max="2" width="17.375" style="22" customWidth="1"/>
    <col min="3" max="4" width="9" style="22"/>
    <col min="5" max="5" width="7.875" style="22" customWidth="1"/>
    <col min="6" max="6" width="7.375" style="22" customWidth="1"/>
    <col min="7" max="7" width="8.375" style="22" customWidth="1"/>
    <col min="8" max="8" width="7.875" style="22" customWidth="1"/>
    <col min="9" max="9" width="8.125" style="22" customWidth="1"/>
    <col min="10" max="10" width="8" style="22" customWidth="1"/>
    <col min="11" max="11" width="9" style="22"/>
    <col min="12" max="12" width="13.5" style="22" customWidth="1"/>
    <col min="13" max="15" width="9" style="22"/>
    <col min="16" max="16" width="11.375" style="22" bestFit="1" customWidth="1"/>
    <col min="17" max="16384" width="9" style="22"/>
  </cols>
  <sheetData>
    <row r="3" spans="1:12" s="23" customFormat="1" ht="31.5" x14ac:dyDescent="0.25">
      <c r="A3" s="23" t="s">
        <v>357</v>
      </c>
      <c r="B3" s="23" t="s">
        <v>454</v>
      </c>
      <c r="C3" s="23" t="s">
        <v>446</v>
      </c>
      <c r="D3" s="23" t="s">
        <v>447</v>
      </c>
      <c r="E3" s="23" t="s">
        <v>448</v>
      </c>
      <c r="F3" s="23" t="s">
        <v>449</v>
      </c>
      <c r="G3" s="23" t="s">
        <v>450</v>
      </c>
      <c r="H3" s="23" t="s">
        <v>451</v>
      </c>
      <c r="I3" s="23" t="s">
        <v>452</v>
      </c>
      <c r="J3" s="23" t="s">
        <v>453</v>
      </c>
      <c r="K3" s="23" t="s">
        <v>471</v>
      </c>
      <c r="L3" s="23" t="s">
        <v>470</v>
      </c>
    </row>
    <row r="4" spans="1:12" ht="23.25" customHeight="1" x14ac:dyDescent="0.25">
      <c r="A4" s="22">
        <v>1</v>
      </c>
      <c r="B4" s="22" t="s">
        <v>445</v>
      </c>
      <c r="C4" s="24">
        <v>248</v>
      </c>
      <c r="D4" s="24">
        <v>275</v>
      </c>
      <c r="E4" s="24">
        <v>218</v>
      </c>
      <c r="F4" s="24">
        <v>481</v>
      </c>
      <c r="G4" s="24">
        <v>286</v>
      </c>
      <c r="H4" s="24">
        <v>120</v>
      </c>
      <c r="I4" s="24">
        <f>169+156+161</f>
        <v>486</v>
      </c>
      <c r="J4" s="24">
        <v>1</v>
      </c>
      <c r="K4" s="25">
        <f>C4+D4+E4+F4+G4+H4+I4+J4+C10+C12</f>
        <v>2550</v>
      </c>
      <c r="L4" s="25">
        <f>C5+D5+E5+F5+G5+H5+I5+J5+C11+C13</f>
        <v>147671</v>
      </c>
    </row>
    <row r="5" spans="1:12" ht="31.5" x14ac:dyDescent="0.25">
      <c r="B5" s="22" t="s">
        <v>455</v>
      </c>
      <c r="C5" s="24">
        <v>23650</v>
      </c>
      <c r="D5" s="24">
        <v>3592</v>
      </c>
      <c r="E5" s="24">
        <f>4088+381+3211</f>
        <v>7680</v>
      </c>
      <c r="F5" s="24">
        <v>44489</v>
      </c>
      <c r="G5" s="24">
        <f>28827+342+50</f>
        <v>29219</v>
      </c>
      <c r="H5" s="24">
        <v>10000</v>
      </c>
      <c r="I5" s="24">
        <f>7148+3096+5124</f>
        <v>15368</v>
      </c>
      <c r="J5" s="24">
        <v>311</v>
      </c>
    </row>
    <row r="6" spans="1:12" x14ac:dyDescent="0.25">
      <c r="B6" s="22" t="s">
        <v>456</v>
      </c>
      <c r="C6" s="24">
        <v>3076</v>
      </c>
      <c r="D6" s="24">
        <v>2612</v>
      </c>
      <c r="E6" s="24"/>
      <c r="F6" s="24">
        <v>8424</v>
      </c>
      <c r="G6" s="24">
        <f>342+50+3157</f>
        <v>3549</v>
      </c>
      <c r="H6" s="24"/>
      <c r="I6" s="24"/>
      <c r="J6" s="24"/>
    </row>
    <row r="7" spans="1:12" x14ac:dyDescent="0.25">
      <c r="B7" s="22" t="s">
        <v>457</v>
      </c>
      <c r="C7" s="24">
        <v>1043</v>
      </c>
      <c r="D7" s="24">
        <v>980</v>
      </c>
      <c r="E7" s="24"/>
      <c r="F7" s="24">
        <v>1620</v>
      </c>
      <c r="G7" s="24">
        <v>1168</v>
      </c>
      <c r="H7" s="24"/>
      <c r="I7" s="24"/>
      <c r="J7" s="24"/>
    </row>
    <row r="8" spans="1:12" x14ac:dyDescent="0.25">
      <c r="B8" s="22" t="s">
        <v>458</v>
      </c>
      <c r="C8" s="24">
        <v>19531</v>
      </c>
      <c r="D8" s="24">
        <v>12000</v>
      </c>
      <c r="E8" s="24"/>
      <c r="F8" s="24">
        <v>34445</v>
      </c>
      <c r="G8" s="24">
        <v>24502</v>
      </c>
      <c r="H8" s="24"/>
      <c r="I8" s="24"/>
      <c r="J8" s="24"/>
    </row>
    <row r="9" spans="1:12" x14ac:dyDescent="0.25">
      <c r="C9" s="24"/>
      <c r="D9" s="24"/>
      <c r="E9" s="24"/>
      <c r="F9" s="24"/>
      <c r="G9" s="24"/>
      <c r="H9" s="24"/>
      <c r="I9" s="24"/>
      <c r="J9" s="24"/>
    </row>
    <row r="10" spans="1:12" ht="47.25" x14ac:dyDescent="0.25">
      <c r="A10" s="22">
        <v>2</v>
      </c>
      <c r="B10" s="22" t="s">
        <v>460</v>
      </c>
      <c r="C10" s="24">
        <v>145</v>
      </c>
      <c r="D10" s="24"/>
      <c r="E10" s="24"/>
      <c r="F10" s="24"/>
      <c r="G10" s="24"/>
      <c r="H10" s="24"/>
      <c r="I10" s="24"/>
      <c r="J10" s="24"/>
    </row>
    <row r="11" spans="1:12" ht="31.5" x14ac:dyDescent="0.25">
      <c r="B11" s="22" t="s">
        <v>459</v>
      </c>
      <c r="C11" s="24">
        <v>4314</v>
      </c>
      <c r="D11" s="24"/>
      <c r="E11" s="24"/>
      <c r="F11" s="24"/>
      <c r="G11" s="24"/>
      <c r="H11" s="24"/>
      <c r="I11" s="24"/>
      <c r="J11" s="24"/>
    </row>
    <row r="12" spans="1:12" ht="47.25" x14ac:dyDescent="0.25">
      <c r="A12" s="22">
        <v>3</v>
      </c>
      <c r="B12" s="22" t="s">
        <v>461</v>
      </c>
      <c r="C12" s="24">
        <v>290</v>
      </c>
      <c r="D12" s="24"/>
      <c r="E12" s="24"/>
      <c r="F12" s="24"/>
      <c r="G12" s="24"/>
      <c r="H12" s="24"/>
      <c r="I12" s="24"/>
      <c r="J12" s="24"/>
    </row>
    <row r="13" spans="1:12" ht="31.5" x14ac:dyDescent="0.25">
      <c r="B13" s="22" t="s">
        <v>459</v>
      </c>
      <c r="C13" s="24">
        <v>9048</v>
      </c>
      <c r="D13" s="24"/>
      <c r="E13" s="24"/>
      <c r="F13" s="24"/>
      <c r="G13" s="24"/>
      <c r="H13" s="24"/>
      <c r="I13" s="24"/>
      <c r="J13" s="24"/>
    </row>
    <row r="14" spans="1:12" x14ac:dyDescent="0.25">
      <c r="C14" s="24"/>
      <c r="D14" s="24"/>
      <c r="E14" s="24"/>
      <c r="F14" s="24"/>
      <c r="G14" s="24"/>
      <c r="H14" s="24"/>
      <c r="I14" s="24"/>
      <c r="J14" s="24"/>
    </row>
    <row r="15" spans="1:12" ht="168.75" customHeight="1" x14ac:dyDescent="0.25">
      <c r="A15" s="22">
        <v>4</v>
      </c>
      <c r="B15" s="22" t="s">
        <v>462</v>
      </c>
      <c r="C15" s="24" t="s">
        <v>463</v>
      </c>
      <c r="D15" s="24"/>
      <c r="E15" s="24" t="s">
        <v>464</v>
      </c>
      <c r="F15" s="24"/>
      <c r="G15" s="24"/>
      <c r="H15" s="24"/>
      <c r="I15" s="24"/>
      <c r="J15" s="24"/>
    </row>
    <row r="16" spans="1:12" x14ac:dyDescent="0.25">
      <c r="C16" s="24"/>
      <c r="D16" s="24"/>
      <c r="E16" s="24"/>
      <c r="F16" s="24"/>
      <c r="G16" s="24"/>
      <c r="H16" s="24"/>
      <c r="I16" s="24"/>
      <c r="J16" s="24"/>
    </row>
    <row r="17" spans="3:10" x14ac:dyDescent="0.25">
      <c r="C17" s="24"/>
      <c r="D17" s="24"/>
      <c r="E17" s="24"/>
      <c r="F17" s="24"/>
      <c r="G17" s="24"/>
      <c r="H17" s="24"/>
      <c r="I17" s="24"/>
      <c r="J17" s="24"/>
    </row>
    <row r="18" spans="3:10" x14ac:dyDescent="0.25">
      <c r="C18" s="24"/>
      <c r="D18" s="24"/>
      <c r="E18" s="24"/>
      <c r="F18" s="24"/>
      <c r="G18" s="24"/>
      <c r="H18" s="24"/>
      <c r="I18" s="24"/>
      <c r="J18" s="24"/>
    </row>
    <row r="19" spans="3:10" x14ac:dyDescent="0.25">
      <c r="C19" s="24"/>
      <c r="D19" s="24"/>
      <c r="E19" s="24"/>
      <c r="F19" s="24"/>
      <c r="G19" s="24"/>
      <c r="H19" s="24"/>
      <c r="I19" s="24"/>
      <c r="J19" s="24"/>
    </row>
    <row r="20" spans="3:10" x14ac:dyDescent="0.25">
      <c r="C20" s="24"/>
      <c r="D20" s="24"/>
      <c r="E20" s="24"/>
      <c r="F20" s="24"/>
      <c r="G20" s="24"/>
      <c r="H20" s="24"/>
      <c r="I20" s="24"/>
      <c r="J20" s="24"/>
    </row>
    <row r="21" spans="3:10" x14ac:dyDescent="0.25">
      <c r="C21" s="24"/>
      <c r="D21" s="24"/>
      <c r="E21" s="24"/>
      <c r="F21" s="24"/>
      <c r="G21" s="24"/>
      <c r="H21" s="24"/>
      <c r="I21" s="24"/>
      <c r="J21" s="24"/>
    </row>
    <row r="22" spans="3:10" x14ac:dyDescent="0.25">
      <c r="C22" s="24"/>
      <c r="D22" s="24"/>
      <c r="E22" s="24"/>
      <c r="F22" s="24"/>
      <c r="G22" s="24"/>
      <c r="H22" s="24"/>
      <c r="I22" s="24"/>
      <c r="J22" s="24"/>
    </row>
    <row r="23" spans="3:10" x14ac:dyDescent="0.25">
      <c r="C23" s="24"/>
      <c r="D23" s="24"/>
      <c r="E23" s="24"/>
      <c r="F23" s="24"/>
      <c r="G23" s="24"/>
      <c r="H23" s="24"/>
      <c r="I23" s="24"/>
      <c r="J23" s="24"/>
    </row>
    <row r="24" spans="3:10" x14ac:dyDescent="0.25">
      <c r="C24" s="24"/>
      <c r="D24" s="24"/>
      <c r="E24" s="24"/>
      <c r="F24" s="24"/>
      <c r="G24" s="24"/>
      <c r="H24" s="24"/>
      <c r="I24" s="24"/>
      <c r="J24" s="24"/>
    </row>
    <row r="25" spans="3:10" x14ac:dyDescent="0.25">
      <c r="C25" s="24"/>
      <c r="D25" s="24"/>
      <c r="E25" s="24"/>
      <c r="F25" s="24"/>
      <c r="G25" s="24"/>
      <c r="H25" s="24"/>
      <c r="I25" s="24"/>
      <c r="J25" s="24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B3_Mac ca</vt:lpstr>
      <vt:lpstr>B4_Vung Che</vt:lpstr>
      <vt:lpstr>B5_Vung Lua</vt:lpstr>
      <vt:lpstr>B6_Vung CAQ</vt:lpstr>
      <vt:lpstr>B7_Vung Cay que</vt:lpstr>
      <vt:lpstr>B8_Vung cay go lon</vt:lpstr>
      <vt:lpstr>B9_Kinh phi</vt:lpstr>
      <vt:lpstr>Sheet1</vt:lpstr>
      <vt:lpstr>'B3_Mac ca'!Print_Area</vt:lpstr>
      <vt:lpstr>'B4_Vung Che'!Print_Area</vt:lpstr>
      <vt:lpstr>'B5_Vung Lua'!Print_Area</vt:lpstr>
      <vt:lpstr>'B6_Vung CAQ'!Print_Area</vt:lpstr>
      <vt:lpstr>'B7_Vung Cay que'!Print_Area</vt:lpstr>
      <vt:lpstr>'B8_Vung cay go lon'!Print_Area</vt:lpstr>
      <vt:lpstr>'B9_Kinh phi'!Print_Area</vt:lpstr>
      <vt:lpstr>'B4_Vung Che'!Print_Titles</vt:lpstr>
      <vt:lpstr>'B5_Vung Lua'!Print_Titles</vt:lpstr>
      <vt:lpstr>'B7_Vung Cay que'!Print_Titles</vt:lpstr>
      <vt:lpstr>'B8_Vung cay go lon'!Print_Titles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129</cp:lastModifiedBy>
  <cp:lastPrinted>2026-01-07T04:15:15Z</cp:lastPrinted>
  <dcterms:created xsi:type="dcterms:W3CDTF">2022-11-16T03:11:05Z</dcterms:created>
  <dcterms:modified xsi:type="dcterms:W3CDTF">2026-03-03T02:51:12Z</dcterms:modified>
</cp:coreProperties>
</file>