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min\Desktop\"/>
    </mc:Choice>
  </mc:AlternateContent>
  <bookViews>
    <workbookView xWindow="0" yWindow="0" windowWidth="20490" windowHeight="7530"/>
  </bookViews>
  <sheets>
    <sheet name="B2 tổng" sheetId="9" r:id="rId1"/>
    <sheet name="B3 chi tiết" sheetId="1" r:id="rId2"/>
    <sheet name="B4 Vốn" sheetId="2" r:id="rId3"/>
    <sheet name="B5 Dự án liên kết" sheetId="10" r:id="rId4"/>
    <sheet name="B6 thực hiện XHX" sheetId="15" r:id="rId5"/>
    <sheet name="Các dự án được chấp thuận CTĐT" sheetId="13" r:id="rId6"/>
    <sheet name="B8 OCOP" sheetId="11" r:id="rId7"/>
    <sheet name="B9 Cơ sở chế biến" sheetId="16" r:id="rId8"/>
  </sheets>
  <definedNames>
    <definedName name="_xlnm.Print_Area" localSheetId="0">'B2 tổng'!$A$1:$H$45</definedName>
    <definedName name="_xlnm.Print_Area" localSheetId="1">'B3 chi tiết'!$A$1:$O$49</definedName>
    <definedName name="_xlnm.Print_Area" localSheetId="2">'B4 Vốn'!$A$1:$C$38</definedName>
    <definedName name="_xlnm.Print_Area" localSheetId="3">'B5 Dự án liên kết'!$A$1:$G$82</definedName>
    <definedName name="_xlnm.Print_Area" localSheetId="4">'B6 thực hiện XHX'!$A$1:$M$24</definedName>
    <definedName name="_xlnm.Print_Area" localSheetId="6">'B8 OCOP'!$A$1:$J$258</definedName>
    <definedName name="_xlnm.Print_Area" localSheetId="7">'B9 Cơ sở chế biến'!$A$1:$I$46</definedName>
    <definedName name="_xlnm.Print_Area" localSheetId="5">'Các dự án được chấp thuận CTĐT'!$A$1:$N$71</definedName>
    <definedName name="_xlnm.Print_Titles" localSheetId="0">'B2 tổng'!$3:$4</definedName>
    <definedName name="_xlnm.Print_Titles" localSheetId="1">'B3 chi tiết'!$4:$5</definedName>
    <definedName name="_xlnm.Print_Titles" localSheetId="2">'B4 Vốn'!$4:$5</definedName>
    <definedName name="_xlnm.Print_Titles" localSheetId="3">'B5 Dự án liên kết'!$3:$4</definedName>
    <definedName name="_xlnm.Print_Titles" localSheetId="4">'B6 thực hiện XHX'!$4:$5</definedName>
    <definedName name="_xlnm.Print_Titles" localSheetId="7">'B9 Cơ sở chế biến'!$3:$4</definedName>
    <definedName name="_xlnm.Print_Titles" localSheetId="5">'Các dự án được chấp thuận CTĐT'!$4:$5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6" l="1"/>
  <c r="A2" i="11"/>
  <c r="A2" i="13"/>
  <c r="A2" i="15"/>
  <c r="A2" i="10"/>
  <c r="A2" i="2"/>
  <c r="A2" i="1"/>
  <c r="D16" i="15" l="1"/>
  <c r="D15" i="15"/>
  <c r="D14" i="15" s="1"/>
  <c r="F14" i="15"/>
  <c r="G14" i="15"/>
  <c r="H14" i="15"/>
  <c r="I14" i="15"/>
  <c r="J14" i="15"/>
  <c r="K14" i="15"/>
  <c r="L14" i="15"/>
  <c r="E14" i="15"/>
  <c r="E26" i="1"/>
  <c r="F26" i="1"/>
  <c r="G26" i="1"/>
  <c r="H26" i="1"/>
  <c r="I26" i="1"/>
  <c r="J26" i="1"/>
  <c r="K26" i="1"/>
  <c r="L26" i="1"/>
  <c r="M26" i="1"/>
  <c r="N26" i="1"/>
  <c r="D26" i="1"/>
  <c r="D6" i="15" l="1"/>
  <c r="G7" i="15"/>
  <c r="D7" i="15" s="1"/>
  <c r="K7" i="15"/>
  <c r="L7" i="15"/>
  <c r="D8" i="15"/>
  <c r="D9" i="15"/>
  <c r="D10" i="15"/>
  <c r="L11" i="15"/>
  <c r="D11" i="15" s="1"/>
  <c r="D12" i="15"/>
  <c r="D13" i="15"/>
  <c r="D24" i="15"/>
  <c r="H44" i="9" l="1"/>
  <c r="H6" i="9"/>
  <c r="H7" i="9"/>
  <c r="H8" i="9"/>
  <c r="H12" i="9"/>
  <c r="H14" i="9"/>
  <c r="H15" i="9"/>
  <c r="H16" i="9"/>
  <c r="H17" i="9"/>
  <c r="H18" i="9"/>
  <c r="H20" i="9"/>
  <c r="H22" i="9"/>
  <c r="H24" i="9"/>
  <c r="H25" i="9"/>
  <c r="H26" i="9"/>
  <c r="H28" i="9"/>
  <c r="H29" i="9"/>
  <c r="H30" i="9"/>
  <c r="H31" i="9"/>
  <c r="H32" i="9"/>
  <c r="H33" i="9"/>
  <c r="H45" i="9"/>
  <c r="G6" i="9"/>
  <c r="G5" i="9"/>
  <c r="G8" i="9"/>
  <c r="G41" i="9"/>
  <c r="H5" i="9"/>
  <c r="E38" i="1" l="1"/>
  <c r="N38" i="1" s="1"/>
  <c r="E15" i="1" l="1"/>
  <c r="E7" i="1"/>
  <c r="E8" i="1"/>
  <c r="E9" i="1"/>
  <c r="E10" i="1"/>
  <c r="E11" i="1"/>
  <c r="E12" i="1"/>
  <c r="E14" i="1"/>
  <c r="E16" i="1"/>
  <c r="E17" i="1"/>
  <c r="E18" i="1"/>
  <c r="E19" i="1"/>
  <c r="E21" i="1"/>
  <c r="E22" i="1"/>
  <c r="E23" i="1"/>
  <c r="E25" i="1"/>
  <c r="E39" i="1"/>
  <c r="E40" i="1"/>
  <c r="E41" i="1"/>
  <c r="E42" i="1"/>
  <c r="E43" i="1"/>
  <c r="E44" i="1"/>
  <c r="E45" i="1"/>
  <c r="E46" i="1"/>
  <c r="E47" i="1"/>
  <c r="E48" i="1"/>
  <c r="E6" i="1"/>
  <c r="E23" i="9" l="1"/>
  <c r="F23" i="9" l="1"/>
  <c r="D23" i="9"/>
  <c r="H23" i="9" s="1"/>
  <c r="M13" i="1" l="1"/>
  <c r="J13" i="1"/>
  <c r="E13" i="1" l="1"/>
  <c r="L148" i="11"/>
  <c r="C12" i="2"/>
  <c r="C7" i="2"/>
  <c r="H7" i="11" l="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60" i="11"/>
  <c r="H61" i="11"/>
  <c r="H62" i="11"/>
  <c r="H65" i="11"/>
  <c r="H66" i="11"/>
  <c r="H67" i="11"/>
  <c r="H68" i="11"/>
  <c r="H69" i="11"/>
  <c r="H70" i="11"/>
  <c r="H71" i="11"/>
  <c r="H72" i="11"/>
  <c r="H73" i="11"/>
  <c r="H74" i="11"/>
  <c r="H75" i="11"/>
  <c r="H76" i="11"/>
  <c r="H77" i="11"/>
  <c r="H79" i="11"/>
  <c r="H80" i="11"/>
  <c r="H81" i="11"/>
  <c r="H82" i="11"/>
  <c r="H83" i="11"/>
  <c r="H84" i="11"/>
  <c r="H85" i="11"/>
  <c r="H86" i="11"/>
  <c r="H87" i="11"/>
  <c r="H88" i="11"/>
  <c r="H89" i="11"/>
  <c r="H90" i="11"/>
  <c r="H91" i="11"/>
  <c r="H93" i="11"/>
  <c r="H94" i="11"/>
  <c r="H95" i="11"/>
  <c r="H100" i="11"/>
  <c r="H101" i="11"/>
  <c r="H102" i="11"/>
  <c r="H103" i="11"/>
  <c r="H105" i="11"/>
  <c r="H106" i="11"/>
  <c r="H107" i="11"/>
  <c r="H108" i="11"/>
  <c r="H109" i="11"/>
  <c r="H110" i="11"/>
  <c r="H111" i="11"/>
  <c r="H113" i="11"/>
  <c r="H114" i="11"/>
  <c r="H116" i="11"/>
  <c r="H117" i="11"/>
  <c r="H119" i="11"/>
  <c r="H120" i="11"/>
  <c r="H121" i="11"/>
  <c r="H123" i="11"/>
  <c r="H124" i="11"/>
  <c r="H125" i="11"/>
  <c r="H126" i="11"/>
  <c r="H127" i="11"/>
  <c r="H128" i="11"/>
  <c r="H129" i="11"/>
  <c r="H130" i="11"/>
  <c r="H131" i="11"/>
  <c r="H132" i="11"/>
  <c r="H133" i="11"/>
  <c r="H134" i="11"/>
  <c r="H135" i="11"/>
  <c r="H136" i="11"/>
  <c r="H137" i="11"/>
  <c r="H138" i="11"/>
  <c r="H139" i="11"/>
  <c r="H140" i="11"/>
  <c r="H141" i="11"/>
  <c r="H142" i="11"/>
  <c r="H143" i="11"/>
  <c r="H144" i="11"/>
  <c r="H145" i="11"/>
  <c r="H146" i="11"/>
  <c r="H147" i="11"/>
  <c r="H148" i="11"/>
  <c r="H149" i="11"/>
  <c r="H150" i="11"/>
  <c r="H151" i="11"/>
  <c r="H152" i="11"/>
  <c r="H153" i="11"/>
  <c r="H154" i="11"/>
  <c r="H155" i="11"/>
  <c r="H156" i="11"/>
  <c r="H157" i="11"/>
  <c r="H158" i="11"/>
  <c r="H159" i="11"/>
  <c r="H160" i="11"/>
  <c r="H161" i="11"/>
  <c r="H162" i="11"/>
  <c r="H164" i="11"/>
  <c r="H165" i="11"/>
  <c r="H166" i="11"/>
  <c r="H167" i="11"/>
  <c r="H168" i="11"/>
  <c r="H169" i="11"/>
  <c r="H170" i="11"/>
  <c r="H171" i="11"/>
  <c r="H172" i="11"/>
  <c r="H174" i="11"/>
  <c r="H176" i="11"/>
  <c r="H178" i="11"/>
  <c r="H179" i="11"/>
  <c r="H180" i="11"/>
  <c r="H181" i="11"/>
  <c r="H182" i="11"/>
  <c r="H183" i="11"/>
  <c r="H184" i="11"/>
  <c r="H185" i="11"/>
  <c r="H186" i="11"/>
  <c r="H187" i="11"/>
  <c r="H188" i="11"/>
  <c r="H189" i="11"/>
  <c r="H190" i="11"/>
  <c r="H192" i="11"/>
  <c r="H194" i="11"/>
  <c r="H195" i="11"/>
  <c r="H196" i="11"/>
  <c r="H197" i="11"/>
  <c r="H198" i="11"/>
  <c r="H199" i="11"/>
  <c r="H200" i="11"/>
  <c r="H201" i="11"/>
  <c r="H202" i="11"/>
  <c r="H204" i="11"/>
  <c r="H205" i="11"/>
  <c r="H206" i="11"/>
  <c r="H209" i="11"/>
  <c r="H211" i="11"/>
  <c r="H212" i="11"/>
  <c r="H213" i="11"/>
  <c r="H214" i="11"/>
  <c r="H215" i="11"/>
  <c r="H216" i="11"/>
  <c r="H217" i="11"/>
  <c r="H218" i="11"/>
  <c r="H219" i="11"/>
  <c r="H221" i="11"/>
  <c r="H222" i="11"/>
  <c r="H223" i="11"/>
  <c r="H225" i="11"/>
  <c r="H226" i="11"/>
  <c r="H227" i="11"/>
  <c r="H229" i="11"/>
  <c r="H230" i="11"/>
  <c r="H231" i="11"/>
  <c r="H232" i="11"/>
  <c r="H233" i="11"/>
  <c r="H234" i="11"/>
  <c r="H235" i="11"/>
  <c r="H237" i="11"/>
  <c r="H240" i="11"/>
  <c r="H242" i="11"/>
  <c r="H244" i="11"/>
  <c r="H245" i="11"/>
  <c r="H246" i="11"/>
  <c r="H247" i="11"/>
  <c r="H248" i="11"/>
  <c r="H250" i="11"/>
  <c r="H251" i="11"/>
  <c r="H252" i="11"/>
  <c r="H253" i="11"/>
  <c r="H254" i="11"/>
  <c r="C5" i="10"/>
  <c r="E5" i="10"/>
  <c r="C12" i="10"/>
  <c r="E12" i="10"/>
  <c r="C27" i="10"/>
  <c r="D27" i="10"/>
  <c r="E27" i="10"/>
  <c r="C30" i="10"/>
  <c r="E30" i="10"/>
  <c r="G31" i="10"/>
  <c r="G32" i="10"/>
  <c r="G46" i="10" s="1"/>
  <c r="E34" i="10"/>
  <c r="C62" i="10"/>
  <c r="D62" i="10"/>
  <c r="E62" i="10"/>
  <c r="E67" i="10"/>
  <c r="E71" i="10"/>
  <c r="G72" i="10"/>
  <c r="H84" i="10"/>
  <c r="E82" i="10" l="1"/>
  <c r="M20" i="1"/>
  <c r="L20" i="1"/>
  <c r="K20" i="1"/>
  <c r="G20" i="1"/>
  <c r="F20" i="1"/>
  <c r="E20" i="1" l="1"/>
  <c r="C29" i="2"/>
  <c r="C24" i="2"/>
  <c r="C21" i="2"/>
  <c r="C15" i="2"/>
  <c r="C20" i="2" l="1"/>
  <c r="F18" i="9" l="1"/>
  <c r="C33" i="2"/>
  <c r="C38" i="2" s="1"/>
</calcChain>
</file>

<file path=xl/sharedStrings.xml><?xml version="1.0" encoding="utf-8"?>
<sst xmlns="http://schemas.openxmlformats.org/spreadsheetml/2006/main" count="2671" uniqueCount="1348">
  <si>
    <t>STT</t>
  </si>
  <si>
    <t>CHỈ TIÊU</t>
  </si>
  <si>
    <t>ĐVT</t>
  </si>
  <si>
    <t>Thành phố</t>
  </si>
  <si>
    <t>Phong Thổ</t>
  </si>
  <si>
    <t>Nậm Nhùn</t>
  </si>
  <si>
    <t>Mường Tè</t>
  </si>
  <si>
    <t xml:space="preserve">Sìn Hồ </t>
  </si>
  <si>
    <t>Tân Uyên</t>
  </si>
  <si>
    <t>Than Uyên</t>
  </si>
  <si>
    <t>Sản xuất lúa hàng hóa tập trung</t>
  </si>
  <si>
    <t>Tổng diện tích chè tập trung</t>
  </si>
  <si>
    <t>Trong đó trồng mới</t>
  </si>
  <si>
    <t>Tổng diện tích chè cổ thụ</t>
  </si>
  <si>
    <t>Trong đó: Trồng mới</t>
  </si>
  <si>
    <t>Diện tích cây cao su</t>
  </si>
  <si>
    <t>Tổng diện tích cây mắc ca</t>
  </si>
  <si>
    <t>Diện tích cây ăn quả tập trung</t>
  </si>
  <si>
    <t>Hỗ trợ rau, củ quả tập trung</t>
  </si>
  <si>
    <t>Trồng hoa địa lan</t>
  </si>
  <si>
    <t>Hỗ trợ hầm biogas</t>
  </si>
  <si>
    <t>Hỗ trợ đệm lót sinh học</t>
  </si>
  <si>
    <t>Hỗ trợ trồng cỏ chăn nuôi</t>
  </si>
  <si>
    <t>Thể tích nuôi cá lồng mới</t>
  </si>
  <si>
    <t>Phát triển các sản phẩm OCOP</t>
  </si>
  <si>
    <t>Thưởng cho chủ thể</t>
  </si>
  <si>
    <t>Hỗ trợ nhà màng, nhà lưới</t>
  </si>
  <si>
    <t>Ha</t>
  </si>
  <si>
    <t>Cây</t>
  </si>
  <si>
    <t>Chậu</t>
  </si>
  <si>
    <t>M2</t>
  </si>
  <si>
    <t>M3</t>
  </si>
  <si>
    <t>Thùng</t>
  </si>
  <si>
    <t>SP</t>
  </si>
  <si>
    <t>Điểm</t>
  </si>
  <si>
    <t xml:space="preserve"> -</t>
  </si>
  <si>
    <t xml:space="preserve"> - </t>
  </si>
  <si>
    <t>Chăm sóc, bảo tồn</t>
  </si>
  <si>
    <t>Trong đó</t>
  </si>
  <si>
    <t>Tổng số đã thực hiện</t>
  </si>
  <si>
    <t>Tam Đường</t>
  </si>
  <si>
    <t>Tổng cộng</t>
  </si>
  <si>
    <t>Xây dựng cơ sở chế biến</t>
  </si>
  <si>
    <t>Cơ sở</t>
  </si>
  <si>
    <t>Cơ sở chăn nuôi đại gia súc tập trung</t>
  </si>
  <si>
    <t>Cơ sở chăn nuôi lợn tập trung</t>
  </si>
  <si>
    <t>Diện tích đưa vào khai thác</t>
  </si>
  <si>
    <t>Sản lượng mủ khô</t>
  </si>
  <si>
    <t>Tấn</t>
  </si>
  <si>
    <t>Trong đó lúa đặc sản</t>
  </si>
  <si>
    <t>-</t>
  </si>
  <si>
    <t>7.1</t>
  </si>
  <si>
    <t>Tổng diện tích hoa tập trung</t>
  </si>
  <si>
    <t>Trồng mới rau tập trung</t>
  </si>
  <si>
    <t>7.2</t>
  </si>
  <si>
    <t>Trong đó phát triển trồng mới</t>
  </si>
  <si>
    <t>TT</t>
  </si>
  <si>
    <t>Tên DA/KH liên kết</t>
  </si>
  <si>
    <t>Thời gian liên kết</t>
  </si>
  <si>
    <r>
      <t xml:space="preserve">Kinh phí nhà nước hỗ trợ
 </t>
    </r>
    <r>
      <rPr>
        <b/>
        <i/>
        <sz val="12"/>
        <rFont val="Times New Roman"/>
        <family val="1"/>
      </rPr>
      <t>(triệu đồng)</t>
    </r>
  </si>
  <si>
    <t>Ghi chú</t>
  </si>
  <si>
    <t>I</t>
  </si>
  <si>
    <t>Dự án/kế hoạch liên kết cấp tỉnh phê duyệt</t>
  </si>
  <si>
    <t xml:space="preserve">Kế hoạch liên kết trồng và tiêu thụ quả Chanh leo trên địa bàn huyện Tân Uyên và Tam Đường </t>
  </si>
  <si>
    <t>5 năm</t>
  </si>
  <si>
    <t>Dự án liên kết sản xuất, chế biến và tiêu thụ cây Actiso tại huyện Sìn Hồ</t>
  </si>
  <si>
    <t>3 năm</t>
  </si>
  <si>
    <t>II</t>
  </si>
  <si>
    <t>Huyện Than Uyên</t>
  </si>
  <si>
    <t>2018-2023</t>
  </si>
  <si>
    <t>Nguồn vốn thực hiện chính sách hỗ trợ để bảo vệ và phát triển đất trồng lúa</t>
  </si>
  <si>
    <t>III</t>
  </si>
  <si>
    <t>Huyện Nậm Nhùn</t>
  </si>
  <si>
    <t>Kế hoạch liên kết sản xuất và tiêu thụ sản phẩm xoài GL4 trên địa bàn huyện Nậm Nhùn năm 2022</t>
  </si>
  <si>
    <t>10 năm</t>
  </si>
  <si>
    <t>IV</t>
  </si>
  <si>
    <t>V</t>
  </si>
  <si>
    <t xml:space="preserve">Huyện Mường Tè </t>
  </si>
  <si>
    <t>VI</t>
  </si>
  <si>
    <t>Huyện Phong Thổ</t>
  </si>
  <si>
    <t>Kế hoạch liên kết sản xuất và tiêu thụ sản phẩm Lê VH6 trên địa bàn huyện Phong Thổ năm 2022</t>
  </si>
  <si>
    <t>VII</t>
  </si>
  <si>
    <t>Huyện Sìn Hồ</t>
  </si>
  <si>
    <t>VIII</t>
  </si>
  <si>
    <t>Huyện Tam Đường</t>
  </si>
  <si>
    <t>Kế hoạch hỗ trợ liên kết sản xuất trồng và tiêu thụ quả chanh leo trên địa bàn huyện Tam Đường giai đoạn 2022-2026</t>
  </si>
  <si>
    <t>Từ năm 2009</t>
  </si>
  <si>
    <t>Huyện Tân Uyên</t>
  </si>
  <si>
    <t xml:space="preserve"> </t>
  </si>
  <si>
    <t>Tên dự án/lĩnh vực</t>
  </si>
  <si>
    <t xml:space="preserve"> QĐ chủ trương 
đầu tư/CNĐT</t>
  </si>
  <si>
    <t>Nhà đầu tư</t>
  </si>
  <si>
    <t>Địa điểm
 đầu tư</t>
  </si>
  <si>
    <t>Thời hạn
 thực hiện 
dự án  (Năm)</t>
  </si>
  <si>
    <t>Quy mô,
 công suất</t>
  </si>
  <si>
    <t>Tiến độ thực hiện dự án</t>
  </si>
  <si>
    <t>Hoàn 
thành</t>
  </si>
  <si>
    <t xml:space="preserve">Đang hoàn thiện thủ tục pháp lý  </t>
  </si>
  <si>
    <t xml:space="preserve">Chưa triển khai </t>
  </si>
  <si>
    <t>Chậm 
tiến độ
hoàn thành</t>
  </si>
  <si>
    <t>Nuôi cá nước lạnh</t>
  </si>
  <si>
    <t>Số 23121000002 
ngày 20/12/2006</t>
  </si>
  <si>
    <t>DNTN Hoàng Liên Sơn</t>
  </si>
  <si>
    <t xml:space="preserve">Xã Sơn Bình, huyện Tam Đường  </t>
  </si>
  <si>
    <t xml:space="preserve">QI/2007- 
QI/2008 </t>
  </si>
  <si>
    <t>120 tấn cá/năm</t>
  </si>
  <si>
    <t>x</t>
  </si>
  <si>
    <t xml:space="preserve">Phát triển bền vững nuôi cá nước lạnh, sản xuất thức ăn chăn nuôi và chế biến thủy sản </t>
  </si>
  <si>
    <t>23121000239
 ngày 08/7/2011</t>
  </si>
  <si>
    <t>Công ty CP thủy điện Chu Va</t>
  </si>
  <si>
    <t>Xã Sơn Bình, huyện Tam Đường</t>
  </si>
  <si>
    <t>QIII/2011-
QIII/2015</t>
  </si>
  <si>
    <t>Trang trại chăn nuôi lợn kết hợp thủy sản và trồng cây ăn quả lâu năm</t>
  </si>
  <si>
    <t>23121000275 
ngày 20/11/2013</t>
  </si>
  <si>
    <t>Công ty TNHH một thành viên Khánh Hòa</t>
  </si>
  <si>
    <t>Tại bản Chin Chu Chải, xã San Thàng, TP Lai Châu</t>
  </si>
  <si>
    <t>QIV/2013 - QII/2014</t>
  </si>
  <si>
    <t>Nuôi trồng thủy sản trong lòng hồ thủy điện, sản xuất con giống, chế biến cá trên địa bàn tỉnh Lai Châu</t>
  </si>
  <si>
    <t>672/QĐ-UBND 
ngày 10/6/2016</t>
  </si>
  <si>
    <t>Công ty cổ phần Thiết kế xây dựng &amp; Thương mại An Phát</t>
  </si>
  <si>
    <t xml:space="preserve"> - Nuôi lòng hồ TĐ Huội Quảng
</t>
  </si>
  <si>
    <t>QIII/2016 - QIV/2019</t>
  </si>
  <si>
    <t>Trang trại chăn nuôi lợn thương phẩm kết hợp thủy sản và trồng cây nông nghiệp</t>
  </si>
  <si>
    <t>Số 735/QĐ-UBND
 ngày 17/7/2017</t>
  </si>
  <si>
    <t>Công ty TNHH MTV 
Quang Tú Lai Châu</t>
  </si>
  <si>
    <t>xã Bản Giang, huyện Tam Đường</t>
  </si>
  <si>
    <t>Trang trại chăn nuôi lợn tại xã Pắc Ta, huyện Tân Uyên</t>
  </si>
  <si>
    <t>Công ty TNHH đầu tư xây dựng và Phát triển nông nghiệp Lai Châu</t>
  </si>
  <si>
    <t>Xã Pắc Ta, 
huyện Tân Uyên</t>
  </si>
  <si>
    <t>Trang trại chăn nuôi 12.000 lợn (heo) hậu bị</t>
  </si>
  <si>
    <t>Số: 1637/QĐ-UBND
 ngày 12/12/2019
Số: 646/QĐ-UBND 
ngày 01/6/2020</t>
  </si>
  <si>
    <t>Công ty TNHH Ngân Giang Tân Uyên</t>
  </si>
  <si>
    <t>Đội 6, Thị trấn Tân Uyên, huyện Tân Uyên</t>
  </si>
  <si>
    <t>III/2020
-IV/2021</t>
  </si>
  <si>
    <t>12.000 con</t>
  </si>
  <si>
    <t>Trang trại chăn nuôi heo theo hướng công nghiệp sạch gắn liền trồng rừng bảo vệ môi trường</t>
  </si>
  <si>
    <t>Công ty cổ phần chăn nuôi Lai Châu</t>
  </si>
  <si>
    <t>Bản Bó Lun, xã Pắc Ta, huyện Tân Uyên</t>
  </si>
  <si>
    <t>Xã Pắc Ta, huyện Tân Uyên, tỉnh Lai Châu</t>
  </si>
  <si>
    <t>Nhà máy chế biến thức ăn gia súc và tinh dầu quế</t>
  </si>
  <si>
    <t>Công ty TNHH một thành viên chế biến nông sản Lai Châu</t>
  </si>
  <si>
    <t>Xã Mường So, huyện Phong Thổ, tỉnh Lai Châu</t>
  </si>
  <si>
    <t>2.1</t>
  </si>
  <si>
    <t>2.2</t>
  </si>
  <si>
    <t>Tên sản phẩm</t>
  </si>
  <si>
    <t>Địa điểm sản xuất, nơi sản xuất</t>
  </si>
  <si>
    <t>Quy mô sản phẩm hoặc khả năng sản xuất, chế biến/năm</t>
  </si>
  <si>
    <t>Sản lượng tiêu thụ trước khi được chứng nhận OCOP</t>
  </si>
  <si>
    <t>Sản lượng tiêu thụ sau khi được chứng nhận OCOP</t>
  </si>
  <si>
    <t>Tỷ lệ tăng sản lượng tiêu thụ hằng năm (%/năm)</t>
  </si>
  <si>
    <t>Năm công nhận OCOP</t>
  </si>
  <si>
    <t>(1)</t>
  </si>
  <si>
    <t>(2)</t>
  </si>
  <si>
    <t>(3)</t>
  </si>
  <si>
    <t>(4)</t>
  </si>
  <si>
    <t>(5)</t>
  </si>
  <si>
    <t>(6)</t>
  </si>
  <si>
    <t>(7)</t>
  </si>
  <si>
    <t>(8)</t>
  </si>
  <si>
    <t>(9)</t>
  </si>
  <si>
    <t>(10)</t>
  </si>
  <si>
    <t>Ổi Quang Lê</t>
  </si>
  <si>
    <t>2ha</t>
  </si>
  <si>
    <t>65 tấn</t>
  </si>
  <si>
    <t>80 tấn</t>
  </si>
  <si>
    <t>20 tấn</t>
  </si>
  <si>
    <t>Bưởi Quang Lê</t>
  </si>
  <si>
    <t>10 tấn</t>
  </si>
  <si>
    <t>15 tấn</t>
  </si>
  <si>
    <t>4 tấn</t>
  </si>
  <si>
    <t>5 tấn</t>
  </si>
  <si>
    <t>200 tấn</t>
  </si>
  <si>
    <t>40 tấn</t>
  </si>
  <si>
    <t>50 tấn</t>
  </si>
  <si>
    <t>350 tấn</t>
  </si>
  <si>
    <t>500 tấn</t>
  </si>
  <si>
    <t>Nhân hạt Mắc ca Tân Uyên</t>
  </si>
  <si>
    <t>0,4 tấn</t>
  </si>
  <si>
    <t>0,5 tấn</t>
  </si>
  <si>
    <t>0,1 tấn</t>
  </si>
  <si>
    <t>10 ha</t>
  </si>
  <si>
    <t>0,8 tấn</t>
  </si>
  <si>
    <t>1 tấn</t>
  </si>
  <si>
    <t>2,5 tấn</t>
  </si>
  <si>
    <t>3 tấn</t>
  </si>
  <si>
    <t>1,2 tấn</t>
  </si>
  <si>
    <t>2 tấn</t>
  </si>
  <si>
    <t>2.200 tấn</t>
  </si>
  <si>
    <t>600 tấn</t>
  </si>
  <si>
    <t>400 tấn</t>
  </si>
  <si>
    <t>250 tấn</t>
  </si>
  <si>
    <t>Gạo tẻ tròn</t>
  </si>
  <si>
    <t>300 tấn</t>
  </si>
  <si>
    <t>60 tấn</t>
  </si>
  <si>
    <t>Gạo nếp Tan Pỏm</t>
  </si>
  <si>
    <t>100 tấn</t>
  </si>
  <si>
    <t>30 tấn</t>
  </si>
  <si>
    <t>35 tấn</t>
  </si>
  <si>
    <t>Ổi Hua Nà</t>
  </si>
  <si>
    <t>0,75 tấn</t>
  </si>
  <si>
    <t>Ruốc cá Lăng</t>
  </si>
  <si>
    <t>5 Tấn</t>
  </si>
  <si>
    <t>Chả cá Lăng viên</t>
  </si>
  <si>
    <t>8 Tấn</t>
  </si>
  <si>
    <t>Xúc xích gà Mường Than</t>
  </si>
  <si>
    <t>Mật Ong Pha Mu</t>
  </si>
  <si>
    <t>500 lít</t>
  </si>
  <si>
    <t>800 lít</t>
  </si>
  <si>
    <t>1200 lít</t>
  </si>
  <si>
    <t>2.500 lít</t>
  </si>
  <si>
    <t>1,8 tấn</t>
  </si>
  <si>
    <t>1,1 tấn</t>
  </si>
  <si>
    <t>1,6 tấn</t>
  </si>
  <si>
    <t>0,7 tấn</t>
  </si>
  <si>
    <t>1,5 tấn</t>
  </si>
  <si>
    <t>1.000 lít</t>
  </si>
  <si>
    <t>1.200 lít</t>
  </si>
  <si>
    <t>1.500 lít</t>
  </si>
  <si>
    <t>0,2 tấn</t>
  </si>
  <si>
    <t>Thịt trâu sấy</t>
  </si>
  <si>
    <t>Rượu Men lá Hải Bình</t>
  </si>
  <si>
    <t>Bản Nậm Hài, xã Mường Mô</t>
  </si>
  <si>
    <t>108.000 lít</t>
  </si>
  <si>
    <t>36.000 lít</t>
  </si>
  <si>
    <t>Mật ong nơi thượng nguồn sông đà</t>
  </si>
  <si>
    <t>Bản Nậm Dòn, xã Nậm Hằng</t>
  </si>
  <si>
    <t>6.000 lít</t>
  </si>
  <si>
    <t>2.000 lít</t>
  </si>
  <si>
    <t>3.000 lít</t>
  </si>
  <si>
    <t>10.000 lít</t>
  </si>
  <si>
    <t>Táo mèo khô Mý Dao</t>
  </si>
  <si>
    <t>Dấm Táo mèo Mý Dao</t>
  </si>
  <si>
    <t>6 tấn</t>
  </si>
  <si>
    <t>0,3 tấn</t>
  </si>
  <si>
    <t>0,05 tấn</t>
  </si>
  <si>
    <t>Thịt Lợn Sấy Khô</t>
  </si>
  <si>
    <t>Tổ 9, phường Đoàn Kết</t>
  </si>
  <si>
    <t>16 tấn</t>
  </si>
  <si>
    <t>12 tấn</t>
  </si>
  <si>
    <t>18 tấn</t>
  </si>
  <si>
    <t>Thịt Trâu Sấy Khô</t>
  </si>
  <si>
    <t>8 tấn</t>
  </si>
  <si>
    <t>9 tấn</t>
  </si>
  <si>
    <t>Rượu Putaleng</t>
  </si>
  <si>
    <t>30.000 lít</t>
  </si>
  <si>
    <t>8.000 lít</t>
  </si>
  <si>
    <t>50.000 lít</t>
  </si>
  <si>
    <t>Hạt Macca khô</t>
  </si>
  <si>
    <t>Tổ 3, phường Đoàn Kết</t>
  </si>
  <si>
    <t>Nhân hạt Macca</t>
  </si>
  <si>
    <t>Gạo Dâu Lai Châu</t>
  </si>
  <si>
    <t>Tổ 15, phường Tân Phong</t>
  </si>
  <si>
    <t>Trà cổ thụ Sà Dề Phìn</t>
  </si>
  <si>
    <t>Tổ 1, phường Tân Phong</t>
  </si>
  <si>
    <t>0,6 tấn</t>
  </si>
  <si>
    <t>120 tấn</t>
  </si>
  <si>
    <t>150 tấn</t>
  </si>
  <si>
    <t>800 tấn</t>
  </si>
  <si>
    <t>70 tấn</t>
  </si>
  <si>
    <t>Đông trùng hạ thảo sấy khô nguyên sợi</t>
  </si>
  <si>
    <t>Tổ 5, phường Đoàn Kết</t>
  </si>
  <si>
    <t>2000kg</t>
  </si>
  <si>
    <t>500kg</t>
  </si>
  <si>
    <t>700kg</t>
  </si>
  <si>
    <t>420kg</t>
  </si>
  <si>
    <t>4000 kg</t>
  </si>
  <si>
    <t>100.000 con</t>
  </si>
  <si>
    <t>35.000 con</t>
  </si>
  <si>
    <t>45.000 con</t>
  </si>
  <si>
    <t>25.000 con</t>
  </si>
  <si>
    <t>200000 con</t>
  </si>
  <si>
    <t>0,06 tấn</t>
  </si>
  <si>
    <t>35.000 lít</t>
  </si>
  <si>
    <t>40.000 lít</t>
  </si>
  <si>
    <t>25.000 lít</t>
  </si>
  <si>
    <t>7 tấn</t>
  </si>
  <si>
    <t>20.000 lít</t>
  </si>
  <si>
    <t>12.000 lít</t>
  </si>
  <si>
    <t>15.000 lít</t>
  </si>
  <si>
    <t xml:space="preserve">12.000 hộp </t>
  </si>
  <si>
    <t>1.500 hộp</t>
  </si>
  <si>
    <t>Giò lụa Dung Lương</t>
  </si>
  <si>
    <t>5 tạ</t>
  </si>
  <si>
    <t>Thị trấn Phong Thổ</t>
  </si>
  <si>
    <t>Ruốc cá hồi Dương Yến</t>
  </si>
  <si>
    <t>0,12 tấn</t>
  </si>
  <si>
    <t>5 ha</t>
  </si>
  <si>
    <t>Miến dong Bình Lư</t>
  </si>
  <si>
    <t>Xã Bình Lư</t>
  </si>
  <si>
    <t>14 hộ</t>
  </si>
  <si>
    <t>11 tấn</t>
  </si>
  <si>
    <t>55 tấn</t>
  </si>
  <si>
    <t>20.000 hộp</t>
  </si>
  <si>
    <t>Địa điểm</t>
  </si>
  <si>
    <t>Sản phẩm</t>
  </si>
  <si>
    <t>Nhà nước hỗ trợ</t>
  </si>
  <si>
    <t>Xã hội hóa</t>
  </si>
  <si>
    <t>Nhộng Đông trùng hạ thảo khô</t>
  </si>
  <si>
    <t>Liên kết trồng và tiêu thụ sản phẩm lúa Séng Cù trên địa bàn huyện Tam Đường; đơn vị liên kết:  Công ty TNHH MTV giống vật tư nông nghiệp Tây Bắc</t>
  </si>
  <si>
    <t>BIỂU 02. TỔNG HỢP KẾT QUẢ THỰC HIỆN NGHỊ QUYẾT SỐ 05-NQ/TU CỦA TỈNH ỦY VỀ PHÁT TRIỂN NÔNG NGHIỆP HÀNG HÓA TẬP TRUNG GIAI ĐOẠN 2021-2025, ĐỊNH HƯỚNG NĂM 2030</t>
  </si>
  <si>
    <t>Ước thực hiện đến hết 2025</t>
  </si>
  <si>
    <t>Nội dung</t>
  </si>
  <si>
    <t>Giai đoạn 2021-2024</t>
  </si>
  <si>
    <t>Toàn tỉnh</t>
  </si>
  <si>
    <t>Khả năng mở rộng quy mô</t>
  </si>
  <si>
    <t>Sản lượng tiêu thụ bình quân năm đầu</t>
  </si>
  <si>
    <t>Sản lượng tiêu thụ bình quân hàng năm</t>
  </si>
  <si>
    <t>Cơ sở chăn nuôi lợn tập trung (150 con/cơ sở)</t>
  </si>
  <si>
    <t>Thể tích nuôi cá lồng tập trung</t>
  </si>
  <si>
    <t>Chăn nuôi đại gia súc</t>
  </si>
  <si>
    <t>Chăn nuôi lợn</t>
  </si>
  <si>
    <t>Chăn nuôi dê</t>
  </si>
  <si>
    <t>Chăn nuôi thỏ</t>
  </si>
  <si>
    <t>Đàn ong tập trung</t>
  </si>
  <si>
    <t>Hỗ trợ làm lồng nuôi</t>
  </si>
  <si>
    <t>Hỗ trợ cước vận chuyển</t>
  </si>
  <si>
    <t>Hỗ trợ chuồng trại</t>
  </si>
  <si>
    <t>Hỗ trợ phát triển nuôi ong</t>
  </si>
  <si>
    <t>Hỗ trợ nuôi cá lồng</t>
  </si>
  <si>
    <t>Chăn nuôi 7500 Lợn Nái sinh sản siêu Nạc chất lượng cao kết hợp trồng rừng</t>
  </si>
  <si>
    <t>21 ha</t>
  </si>
  <si>
    <t>I/2024-IV/2024</t>
  </si>
  <si>
    <t>Trang trại chăn nuôi lợn tại xã Thèn Sin, huyện Tam Đường</t>
  </si>
  <si>
    <t>Công ty cổ phần công nghệ nông nghiệp TD</t>
  </si>
  <si>
    <t>Xã Thèn Sin, huyện Tam Đường, tỉnh Lai Châu</t>
  </si>
  <si>
    <t>11,69ha</t>
  </si>
  <si>
    <t>I/2024-IV/2025</t>
  </si>
  <si>
    <t>QĐ số 618/QĐ-UBND ngày 03/4/2025</t>
  </si>
  <si>
    <t>Công ty TNHH MTV Thiên Long</t>
  </si>
  <si>
    <t>QĐ số 2069/QĐ-UBND ngày 31/7/2025</t>
  </si>
  <si>
    <t>QĐ số 2569/QĐ-UBND ngày 08/10/2025</t>
  </si>
  <si>
    <t>Tân Phong 170 ha; Đoàn Kết 162 ha; Bản Bo 80 ha; Bình Lư 340 ha; Tả Lèng 140 ha; Sin Suối Hồ 60 ha; Khổng Lào 150 ha; Nậm Hàng 120 ha; Mường Tè 100 ha; Bum Nưa 100 ha; Hua Bum 80 ha; Mường Kim 692 ha; Khoen On 68 ha; Than Uyên 680 ha; Mường Than 410 ha; Tân Uyên 25 ha; Pắc Ta 450 ha; Mường Khoa 43 ha; Pu Sam Cáp 400 ha</t>
  </si>
  <si>
    <t>Tân Phong 170 ha; Đoàn Kết 100 ha; Bản Bo 60 ha; Tả Lèng 126 ha; Sin Suối Hồ 60 ha; Khổng Lào 150 ha; Nậm Hàng 120 ha; Mường Kim 60 ha; Than Uyên 350 ha; Mường Than 72 ha; Tân Uyên 25 ha; Pắc Ta 450 ha; Mường Khoa 43 ha</t>
  </si>
  <si>
    <t>Mường Kim 10 ha; Khoen On 4 ha; Pắc Ta 34,5 ha; Tân Uyên 78,5 ha; Mường Khoa 2,25 ha; Bản Bo 2,8 ha; Bình Lư 16,72 ha; Tả Lèng 3 ha; Khun Há 21,69 ha; Phong Thổ 18,3 ha; Khổng Lào 5 ha; Nặm Tăm 42 ha; Pu Sam Cáp 12 ha</t>
  </si>
  <si>
    <t>Trồng mới chè tập trung</t>
  </si>
  <si>
    <t>Trồng mới chè cổ thụ</t>
  </si>
  <si>
    <t>Chăm sóc, bảo tồn chè cổ thụ</t>
  </si>
  <si>
    <t>Hỗ trợ trồng mới cây ăn quả</t>
  </si>
  <si>
    <t>Hỗ trợ rau, hoa, củ quả</t>
  </si>
  <si>
    <t>Hoa Địa lan</t>
  </si>
  <si>
    <t xml:space="preserve">Rau, hoa, củ, quả khác </t>
  </si>
  <si>
    <t>Hệ thống</t>
  </si>
  <si>
    <t>Hỗ trợ phát triển sản phẩm OCOP</t>
  </si>
  <si>
    <t>Hỗ trợ hệ thống tưới tiên tiến trong nhà màng</t>
  </si>
  <si>
    <t>Hỗ trợ áp dụng tiêu chuẩn sản xuất (Hữu cơ, VietGAP)</t>
  </si>
  <si>
    <t xml:space="preserve">Hỗ trợ phát triển công nghiệp chế biến nông, lâm, thủy sản </t>
  </si>
  <si>
    <t xml:space="preserve">Kế hoạch liên kết chuỗi giá trị sản xuất lúa tẻ râu tại các huyện Phong Thổ, thành phố Lai Châu giai đoạn 2023-2025 </t>
  </si>
  <si>
    <t>Kế hoạch liên kết phát triển sản xuất và tiêu thụ sản phẩm chăn nuôi ngựa sinh sản tại huyện Phong Thổ và Sìn Hồ</t>
  </si>
  <si>
    <t>Kế hoạch liên kết phát triển chuỗi giá trị sản xuất chè theo tiêu chuẩn VietGap tại huyện Phong Thổ, Sìn Hồ</t>
  </si>
  <si>
    <t>Kế hoạch liên kết phát triển sản xuất và tiêu thụ sản phẩm chăn nuôi ngựa bạch tại huyện Phong Thổ và Sìn Hồ</t>
  </si>
  <si>
    <t>Tổng 63 dự án/kế hoạch liên kết chuỗi giá trị</t>
  </si>
  <si>
    <t>Công ty TNHH Xuất nhập khẩu Đại Việt</t>
  </si>
  <si>
    <t>Sản xuất và tiêu thụ sản phẩm chuối tây</t>
  </si>
  <si>
    <t>Công ty cổ phần thành công - Lai Châu</t>
  </si>
  <si>
    <t>Liên kết trồng và tiêu thụ qủa chanh leo theo Nghị quyết 07</t>
  </si>
  <si>
    <t>15.552 m3</t>
  </si>
  <si>
    <t>Hỗ trợ nuôi cá lồng trên lòng hồ thủy điện</t>
  </si>
  <si>
    <t>HTX Công nghệ &amp;  Môi trường</t>
  </si>
  <si>
    <t>Sản xuất và tiêu thụ sản phẩm lúa nếp co giàng</t>
  </si>
  <si>
    <t xml:space="preserve">Sản xuất và tiêu thụ sản phẩm lúa Séng cù </t>
  </si>
  <si>
    <t>Liên kết theo Chương trình MTQG DTTS&amp;MN</t>
  </si>
  <si>
    <t>Công ty Cổ phần Thành công Lai Châu</t>
  </si>
  <si>
    <t xml:space="preserve"> Dự án liên kết sản xuất theo chuỗi giá trị (cây Khoai tây) thuộc Tiểu dự án 2, Dự án 3 Chương trình mục tiêu quốc gia phát triển kinh tế - xã hội vùng đồng bào dân tộc thiểu số và miền núi năm 2023 trên địa bàn thị trấn Tân Uyên, huyện Tân Uyên”</t>
  </si>
  <si>
    <t xml:space="preserve"> Dự án liên kết “Phát triển sản xuất rau an toàn (cây Khoai tây) thuộc Tiểu dự án 1, Dự án 3 Chương trình mục tiêu quốc gia giảm nghèo bền vững năm 2023 trên địa bàn xã Pắc Ta, huyện Tân Uyên”</t>
  </si>
  <si>
    <t>Dự án liên kết “Phát triển sản xuất rau an toàn (cây Khoai tây) thuộc Tiểu dự án 1, Dự án 3 Chương trình mục tiêu quốc gia giảm nghèo bền vững năm 2023 trên địa bàn xã Trung Đồng, huyện Tân Uyên”</t>
  </si>
  <si>
    <t>Liên kết theo Chương trình MTQG Giảm nghèo Bền vững</t>
  </si>
  <si>
    <t>HTX Ngọc Ánh</t>
  </si>
  <si>
    <t>72 con trâu</t>
  </si>
  <si>
    <t>Dự án liên kết “ Phát triển sản xuất liên kết theo chuỗi giá trị chăn nuôi trâu nội sinh sản thuộc Dự án 2 chương trình mục tiêu quốc gia giảm nghèo bền vững năm 2023 trên địa bàn xã Pắc Ta huyện Tân Uyên</t>
  </si>
  <si>
    <t>Công ty cổ phần Nafood Tây bắc</t>
  </si>
  <si>
    <t>5 năm (Phê duyệt 2020)</t>
  </si>
  <si>
    <t>Liên kết trồng và tiêu thụ quả chanh leo theo quyết định 1873</t>
  </si>
  <si>
    <t xml:space="preserve"> Công ty TNHH MTV giống vật tư nông nghiệp Tây Bắc</t>
  </si>
  <si>
    <t>3 năm (từ 2022)</t>
  </si>
  <si>
    <t>Công ty cổ phần ĐTPT chè Tam Đường</t>
  </si>
  <si>
    <t>Liên kết sản xuất và tiêu thụ sản phẩm lúa Séng Cù trên địa bàn huyện Tam Đường</t>
  </si>
  <si>
    <t>CTCP Chanh leo Lai Châu</t>
  </si>
  <si>
    <t>Công ty Cổ phần giống cây trồng Đông Bắc</t>
  </si>
  <si>
    <t xml:space="preserve"> Dự án liên kết Phát triển sản xuất theo chuỗi giá trị gắn với tiêu thụ sản phẩm quả Mít Siêu sớm da xanh tại các xã Ma Quai, Phăng Sô Lin, huyện Sìn Hồ, tỉnh Lai Châu thực hiện chương trình mục tiêu quốc gia phát triển kinh tế - xã hội vùng đồng bào dân tộc thiểu số và miền núi giai đoạn 2021-2025</t>
  </si>
  <si>
    <t xml:space="preserve">Dự án liên kết Phát triển sản xuất theo chuỗi giá trị gắn với tiêu thụ sản phẩm quả Lê VH6 tại các xã Tả Phìn, Hồng Thu, huyện Sìn Hồ, tỉnh Lai Châu thực hiện chương trình mục tiêu quốc gia phát triển kinh tế - xã hội vùng đồng bào dân tộc thiểu số và miền núi giai đoạn 2021-2025 </t>
  </si>
  <si>
    <t xml:space="preserve">Công ty Cổ phần Đầu tư xây dựng &amp; Thương mại Quang Hà Điện Biên. </t>
  </si>
  <si>
    <t>Dự án liên kết phát triển sản xuất theo chuỗi giá trị gắn với tiêu thụ sản phẩm quả Dứa tại xã Nậm Tăm, huyện Sìn Hồ thuộc Dự án 2 Chương trình mục tiêu quốc gia giảm nghèo bền vững giai đoạn 2021-2025</t>
  </si>
  <si>
    <t>Chương trình MTQG giảm nghèo bền vững</t>
  </si>
  <si>
    <t>Công ty Cổ phần Đầu tư và Phát triển giống cây trồng Việt Nam</t>
  </si>
  <si>
    <t>Dự án liên kết phát triển sản xuất theo chuỗi giá trị gắn với tiêu thụ sản phẩm quả Chuối tây tại các xã Nậm Cha, Pa Khóa, huyện Sìn Hồ thuộc Dự án 2 Chương trình mục tiêu quốc gia giảm nghèo bền vững giai đoạn 2021-2025</t>
  </si>
  <si>
    <t>Hợp tác xã Dền Thàng</t>
  </si>
  <si>
    <t>Kế hoạch liên kết chuỗi giá trị sản xuất, tiêu thụ khoai sọ tại các xã Mường So, Khổng Lào, Ma Li Pho, Huổi Luông năm 2023-2025 thuộc chương trình MTQG Xây dựng Nông thôn mới giai đoạn 2021 - 2025</t>
  </si>
  <si>
    <t>Công ty TNHH MTV Nam Hà LC</t>
  </si>
  <si>
    <t>Kế hoạch liên kết chuỗi giá trị sản xuất, tiêu thụ Dong riềng tại các xã Mường So, Khổng Lào, Ma Li Pho, Huổi Luông năm 2023-2025 thuộc chương trình MTQG Xây dựng Nông thôn mới giai đoạn 2021 - 2025</t>
  </si>
  <si>
    <t>Công ty Cổ phần giống rau hoa quả Trung ương</t>
  </si>
  <si>
    <t xml:space="preserve">Liên kết sản xuất và tiêu thụ sản phẩm Xoài Đài Loan (Gl4) trên địa bàn huyện Phong Thổ năm 2022 </t>
  </si>
  <si>
    <t>Công ty TNHH MTV Tiến Bảy</t>
  </si>
  <si>
    <t>1.984 
(chậu)</t>
  </si>
  <si>
    <t>Dự án liên kết phát triển mở rộng cây địa lan tạo sản phẩm du lịch trên địa bàn xã Sin Suối Hồ thuộc Đề án Xây dựng NTM gắn với du lịch Nông thôn tại một số bản trên địa bàn tỉnh Lai Châu giai đoạn 2020 – 2025</t>
  </si>
  <si>
    <t>Công ty Cổ phần HT Miền Bắc</t>
  </si>
  <si>
    <t>dự án trồng cây nhãn chín muộn liên kết theo chuỗi giá trị gắn với tiêu thụ sản phẩm trên địa bàn bản Vàng Pheo xã Mường So năm 2021 thuộc Đề án Xây dựng NTM gắn với du lịch Nông thôn tại một số bản trên địa bàn tỉnh Lai Châu giai đoạn 2020 – 2025</t>
  </si>
  <si>
    <t xml:space="preserve">Công ty TNHH xuất nhập khẩu nông nghiệp tiên tiến toàn cầu. </t>
  </si>
  <si>
    <r>
      <t xml:space="preserve">Dự án hỗ trợ phát triển sản xuất các sản phẩm cây ăn quả ôn đới </t>
    </r>
    <r>
      <rPr>
        <i/>
        <sz val="12"/>
        <rFont val="Times New Roman"/>
        <family val="1"/>
      </rPr>
      <t>(cây lê)</t>
    </r>
    <r>
      <rPr>
        <sz val="12"/>
        <rFont val="Times New Roman"/>
        <family val="1"/>
      </rPr>
      <t xml:space="preserve"> liên kết theo chuỗi giá trị gắn với tiêu thụ sản phẩm.</t>
    </r>
  </si>
  <si>
    <t xml:space="preserve">Công ty cổ phần giống rau hoa quả Trung ương. </t>
  </si>
  <si>
    <t>Công ty TNHH TM&amp;XD Hùng Mạnh</t>
  </si>
  <si>
    <t>Dự án hỗ trợ phát triển sản xuất các sản phẩm cây thất diệp nhất chi hoa liên kết theo chuỗi giá trị gắn với tiêu thụ sản phẩm.</t>
  </si>
  <si>
    <t>Dự án hỗ trợ phát triển sản xuất các sản phẩm cây ăn quả Ôn đới (giống Lê) liên kết theo chuỗi giá trị gắn với tiêu thụ sản phẩm</t>
  </si>
  <si>
    <t>Công ty Cổ phần giống rau Hoa quả Trung ương</t>
  </si>
  <si>
    <t>Dự án hỗ trợ phát triển sản xuất các sản phẩm cây ăn quả nhiệt đới (giống Xoài) liên kết theo chuỗi giá trị gắn với tiêu thụ sản phẩm</t>
  </si>
  <si>
    <t>Liên kết Chương trình MTQG NTM và NQ 41</t>
  </si>
  <si>
    <t>Công ty Cổ phần Nông nghiệp Công nghệ cao Beefoods</t>
  </si>
  <si>
    <t>Liên kết trồng cây ăn quả tập trung (cây Chanh leo) theo Nghị quyết 07/2021/NQ-HĐND trên địa bàn huyện Phong Thổ năm 2022</t>
  </si>
  <si>
    <t xml:space="preserve">Hỗ trợ trồng cây ăn quả tập trung (cây Chuổi Tây) theo Nghị quyết 07/2021/NQ-HĐND trên địa bàn huyện Phong Thổ năm 2023 </t>
  </si>
  <si>
    <t xml:space="preserve">Hỗ trợ trồng cây ăn quả tập trung (cây Xoài Đài loan GL4) theo Nghị quyết 07/2021/NQ-HĐND trên địa bàn huyện Phong Thổ năm 2023 </t>
  </si>
  <si>
    <t>Kế hoạch liên kết chuỗi giá trị sản xuất, tiêu thụ cây Khoai Sọ trên địa bàn các xã Bản Lang, Hoang Thèn, Sin Suối Hồ, Ma Li Pho, Huổi Luông năm 2023-2025 thuộc Chương trình MTQG phát triển KTXH vùng đồng bào dân tộc thiểu số và miền núi giai đoạn 2021-2025</t>
  </si>
  <si>
    <t>Công ty TNHH MTV Thương mại và Dịch vụ Đồng Tiến Lai Châu</t>
  </si>
  <si>
    <t>Kế hoạch liên kết chuỗi giá trị sản xuất, tiêu thụ cây Dong Riềng trên địa bàn các xã Lản Nhì Thàng, Mường So, Mù Sang, Sin Suối Hồ, Nậm Xe, Vàng Ma Chải, Sì Lở Lầu năm 2023-2025 thuộc Chương trình MTQG phát triển KTXH vùng đồng bào dân tộc thiểu số và miền núi giai đoạn 2021-2025</t>
  </si>
  <si>
    <t>Kế hoạch liên kết chuỗi giá trị sản xuất, tiêu thụ cây Mít trên địa bàn các xã Mường So, Vàng Ma Chải năm 2023-2025 thuộc Chương trình MTQG phát triển KTXH vùng đồng bào dân tộc thiểu số và miền núi giai đoạn 2021-2025</t>
  </si>
  <si>
    <t>Kế hoạch liên kết chuỗi giá trị sản xuất, tiêu thụ cây Lê trên địa bàn các xã Dào San, Sin Suối Hồ năm 2023-2025 thuộc Chương trình MTQG phát triển KTXH vùng đồng bào dân tộc thiểu số và miền núi giai đoạn 2021-2025</t>
  </si>
  <si>
    <t>Kế hoạch liên kết chuỗi giá trị sản xuất, tiêu thụ Chuối Tây trên địa bàn các xã Nậm Xe, Hoang Thèn, Bản Lang thuộc Chương trình MTQG giảm nghèo bền vững năm 2023-2025</t>
  </si>
  <si>
    <t>Kế hoạch liên kết chuỗi giá trị sản xuất, tiêu thụ cây Mít, Xoài trên địa bàn xã Bản Lang, Nậm Xe, Sin Suối Hồ thuộc Chương trình MTQG giảm nghèo bền vững năm 2023-2025</t>
  </si>
  <si>
    <t>Kế hoạch liên kết chuỗi giá trị sản xuất, tiêu thụ cây Lê trên địa bàn xã Dào San, Sin Suối Hồ thuộc Chương trình MTQG giảm nghèo bền vững năm 2023-2025</t>
  </si>
  <si>
    <t xml:space="preserve">Kế hoạch liên kết chuỗi giá trị sản xuất, tiêu thụ Dong riềng tại các xã Nậm Xe, Bản Lang, Hoang Thèn, Mù Sang thuộc Chương trình MTQG giảm nghèo bền vững năm 2023-2025 </t>
  </si>
  <si>
    <t>Liên kết theo Chương trình Giảm nghèo Bền vững</t>
  </si>
  <si>
    <t>Kế hoạch liên kết chuỗi giá trị sản xuất, tiêu thụ cây Khoai Sọ trên địa bàn các xã Nậm Xe, Hoang Thèn, Bản Lang, Mù Sang thuộc Chương trình MTQG giảm nghèo bền vững năm 2023-2025</t>
  </si>
  <si>
    <t>Cty TNHH MTV Giống Vật tư Tây Bắc</t>
  </si>
  <si>
    <t>Liên kết sản xuất và tiêu thụ lúa Tẻ râu trên địa bàn huyện Phong Thổ</t>
  </si>
  <si>
    <t>CTCP nông nghiệp HT Miền Bắc</t>
  </si>
  <si>
    <t>Nguồn Chương trình MTQG NTM và NQ 41</t>
  </si>
  <si>
    <t>Công ty Cổ phần rau quả trung ương</t>
  </si>
  <si>
    <t>9 ha</t>
  </si>
  <si>
    <t>Dự án liên kết gắn với tiêu thu sản phẩm xoài GL4 năm 2020</t>
  </si>
  <si>
    <t>Công ty cổ Nhật Quang T&amp;T</t>
  </si>
  <si>
    <t>9.75 ha</t>
  </si>
  <si>
    <t>Hỗ trợ trồng cây ăn quả tập trung (Xoài, mít) trên địa bàn huyện huyện Mường Tè</t>
  </si>
  <si>
    <t>Công ty Cổ phần Thương mại và Dược phẩm Hoàng Lan</t>
  </si>
  <si>
    <t>7 năm (từ 2024)</t>
  </si>
  <si>
    <t>298 ha</t>
  </si>
  <si>
    <t>Dự án liên kết đầu tư, hỗ trợ vùng trồng dược liệu quý trên địa bàn huyện Mường Tè</t>
  </si>
  <si>
    <t>22.82 ha</t>
  </si>
  <si>
    <t>Kế hoạch liên kết tiêu thụ sản phẩm xoài GL4 trên địa bàn huyện Nậm Nhùn  trên địa bàn huyện Nậm Nhùn</t>
  </si>
  <si>
    <t>Công ty CP giống rau hoa quả trung ương</t>
  </si>
  <si>
    <t>HTX Hùng Nguyễn</t>
  </si>
  <si>
    <t>2023-2028</t>
  </si>
  <si>
    <t>54 con bò</t>
  </si>
  <si>
    <t>Dự án hỗ trợ phát triển sản xuất, liên kết theo chuỗi giá trị chăn nuôi bò trên địa bàn huyện Than Uyên năm 2023 (Tà Mung, Pha Mu)</t>
  </si>
  <si>
    <t>Nguồn Chương trình MTQG Phát triển KT-XH vùng ĐBDTTS&amp;MN</t>
  </si>
  <si>
    <t>CT CP Nông nghiệp tốt (Good Agri.,JSC)</t>
  </si>
  <si>
    <r>
      <t>Dự án hỗ trợ</t>
    </r>
    <r>
      <rPr>
        <i/>
        <sz val="12"/>
        <rFont val="Times New Roman"/>
        <family val="1"/>
      </rPr>
      <t xml:space="preserve"> </t>
    </r>
    <r>
      <rPr>
        <sz val="12"/>
        <rFont val="Times New Roman"/>
        <family val="1"/>
      </rPr>
      <t>phát triển sản xuất, liên kết theo chuỗi giá trị cây mơ vàng trên địa bàn huyện Than Uyên, tỉnh Lai Châu</t>
    </r>
  </si>
  <si>
    <t>2022-2027</t>
  </si>
  <si>
    <t>148 con bò</t>
  </si>
  <si>
    <t>Dự án hỗ trợ phát triển sản xuất, liên kết theo chuỗi giá trị chăn nuôi bò trên địa bàn huyện Than Uyên năm 2022 (Mường Cang, Hua Nà, Pha Mu, Tà Hừa, Khoen On)</t>
  </si>
  <si>
    <t>Nguồn Chương trình MTQG GNBV</t>
  </si>
  <si>
    <t>Công ty CP giống hoa quả Trung ương</t>
  </si>
  <si>
    <r>
      <t>Dự án hỗ trợ</t>
    </r>
    <r>
      <rPr>
        <i/>
        <sz val="12"/>
        <rFont val="Times New Roman"/>
        <family val="1"/>
      </rPr>
      <t xml:space="preserve"> </t>
    </r>
    <r>
      <rPr>
        <sz val="12"/>
        <rFont val="Times New Roman"/>
        <family val="1"/>
      </rPr>
      <t>phát triển sản xuất, liên kết theo chuỗi giá trị cây mít siêu sớm TL1 trên địa bàn huyện Than Uyên, tỉnh Lai Châu</t>
    </r>
  </si>
  <si>
    <t>Cty TNHH Trường Thuận Quế võ</t>
  </si>
  <si>
    <t>2024-2026</t>
  </si>
  <si>
    <t>Kế hoạch liên kết sản xuất và tiêu thụ sản phẩm khoai tây trên địa bàn xã Mường Than, Phúc Than huyện Than Uyên</t>
  </si>
  <si>
    <t>Công ty TNHH MTV Dũng Long</t>
  </si>
  <si>
    <t>Kế hoạch liên kết sản xuất và tiêu thụ sản phẩm lúa, gạo Séng Cù trên địa bàn xã Hua Nà</t>
  </si>
  <si>
    <t>Công ty XNK Phúc An Phát HP</t>
  </si>
  <si>
    <t>Kế hoạch liên kết sản xuất và tiêu thụ sản phẩm ớt trên địa bàn xã Mường Than, huyện Than Uyên, tỉnh Lai Châu</t>
  </si>
  <si>
    <t>Cửa hàng vật tư nông nghiệp Dũng Long</t>
  </si>
  <si>
    <t>Kế hoạch liên kết sản xuất và tiêu thụ sản phẩm ngô ngọt trên địa bàn xã Tà Mung, huyện Than Uyên, tỉnh Lai Châu</t>
  </si>
  <si>
    <t>HTX Dịch vụ sản xuất nông nghiệp Trường An</t>
  </si>
  <si>
    <t>Kế hoạch liên kết sản xuất và tiêu thụ sản phẩm rau củ quả trên địa bàn xã Phúc Than</t>
  </si>
  <si>
    <t>Kế hoạch liên kết sản xuất và tiêu thụ sản phẩm Khoai tây, ngô ngọt trên địa bàn xã Mường Cang, huyện Than Uyên, tỉnh Lai Châu</t>
  </si>
  <si>
    <t>Kế hoạch liên kết sản xuất và tiêu thụ sản phẩm ớt, ngô ngọt trên địa bàn xã Mường Kim, huyện Than Uyên, tỉnh Lai Châu</t>
  </si>
  <si>
    <t>HTX Nông nghiệp Hua Nà</t>
  </si>
  <si>
    <t>2022-2024</t>
  </si>
  <si>
    <t>Kế hoạch liên kết sản xuất và tiêu thụ sản phẩm rau quả trên địa bàn xã Hua Nà</t>
  </si>
  <si>
    <t>Cty TNHH Rau củ quả Ngọc Linh Sơn La</t>
  </si>
  <si>
    <t>Kế hoạch liên kết sản xuất và tiêu thụ sản phẩm rau củ quả trên địa bàn xã Mường Cang</t>
  </si>
  <si>
    <t>Kế hoạch liên kết sản xuất và tiêu thụ sản phẩm rau củ quả (khoai tây, bí xanh) trên địa bàn xã Mường Kim, huyện Than Uyên, tỉnh Lai Châu</t>
  </si>
  <si>
    <t>HTX Xuân Oanh</t>
  </si>
  <si>
    <t>Công ty CP ĐT&amp;PT Chè Tam Đường</t>
  </si>
  <si>
    <t>Công ty TNHH MTV Giống vật tư NN Tây Bắc</t>
  </si>
  <si>
    <t>HTX Quyết Tâm</t>
  </si>
  <si>
    <t>Công ty CP Nafood Tây Bắc</t>
  </si>
  <si>
    <t>Chủ trì liên kết</t>
  </si>
  <si>
    <t>Quy mô liên kết (ha, con)</t>
  </si>
  <si>
    <t>Trà đẳng sâm Mường Tè</t>
  </si>
  <si>
    <t>Ngừng hoạt động do cơ sở đang xây dựng lại vùng nguyên liệu</t>
  </si>
  <si>
    <t>Bản Mường Tè, xã Mường Tè</t>
  </si>
  <si>
    <t>Đẳng sâm sấy khô Mường Tè</t>
  </si>
  <si>
    <t>XÃ MƯỜNG TÈ</t>
  </si>
  <si>
    <t>3.000 ống</t>
  </si>
  <si>
    <t>2.000 ống</t>
  </si>
  <si>
    <t xml:space="preserve"> Trà Ống Lam Thu Lũm</t>
  </si>
  <si>
    <t>15 bộ</t>
  </si>
  <si>
    <t>10 bộ</t>
  </si>
  <si>
    <t>8 bộ</t>
  </si>
  <si>
    <t>Bản Mé Gióng, xã Ka Lăng</t>
  </si>
  <si>
    <t>Bộ trang phục truyền thống Hà Nhì Hoa – Mường tè</t>
  </si>
  <si>
    <t>4.000 lít</t>
  </si>
  <si>
    <t>Mật ong Trường Tuyển Ka Lăng</t>
  </si>
  <si>
    <t>Thảo quả Thu Lũm</t>
  </si>
  <si>
    <t>2,5 tan</t>
  </si>
  <si>
    <t>Bản Thu Lũm, xã Thu Lũm</t>
  </si>
  <si>
    <t>Ớt trung đoàn ngâm dấm</t>
  </si>
  <si>
    <t>XÃ THU LŨM</t>
  </si>
  <si>
    <t>1.800 lít</t>
  </si>
  <si>
    <t>1.500 chai</t>
  </si>
  <si>
    <t>1.200 chai</t>
  </si>
  <si>
    <t>2.000 chai</t>
  </si>
  <si>
    <t>Dung dịch xịt khuẩn Q CLEAN</t>
  </si>
  <si>
    <t>Khu phố 12, xã Bum Tở</t>
  </si>
  <si>
    <t>Nước súc miệng Q CLEAN</t>
  </si>
  <si>
    <t>1.700 lít</t>
  </si>
  <si>
    <t>1.000 lit</t>
  </si>
  <si>
    <t>8.00 lit</t>
  </si>
  <si>
    <t>Khu phố 01,  xã Bum Tở</t>
  </si>
  <si>
    <t>Mật ong Pa Ủ</t>
  </si>
  <si>
    <t>600 lit</t>
  </si>
  <si>
    <t>Khu phố 12,  xã Bum Tở</t>
  </si>
  <si>
    <t>Mật ong Hải Hoàn Vàng San</t>
  </si>
  <si>
    <t>Mật ong bình AN</t>
  </si>
  <si>
    <t>Khu phố 7,  xã Bum Tở</t>
  </si>
  <si>
    <t xml:space="preserve">Chè dây </t>
  </si>
  <si>
    <t>38.000 lít</t>
  </si>
  <si>
    <t>48.000 lít</t>
  </si>
  <si>
    <t>Khu phố 1,  xã Bum Tở</t>
  </si>
  <si>
    <t>Rượu Pusilung Mường Tè</t>
  </si>
  <si>
    <t>Lạp sườn lợn đen</t>
  </si>
  <si>
    <t>Thịt lợn đen sấy</t>
  </si>
  <si>
    <t xml:space="preserve">70 tấn </t>
  </si>
  <si>
    <t xml:space="preserve">100tấn </t>
  </si>
  <si>
    <t>Khoai Sọ Mường Tè</t>
  </si>
  <si>
    <t xml:space="preserve">Cá trắm sấy </t>
  </si>
  <si>
    <t>XÃ BUM TỞ</t>
  </si>
  <si>
    <t>Thịt trâu sấy Mường Mô</t>
  </si>
  <si>
    <t>0.8 tấn</t>
  </si>
  <si>
    <t>Thịt lợn sấy Mường Mô</t>
  </si>
  <si>
    <t>Lạp sườn lợn Mường Mô</t>
  </si>
  <si>
    <t>Thịt lợn gác bếp Mường Mô</t>
  </si>
  <si>
    <t>130.000 lit</t>
  </si>
  <si>
    <t>32.000 lít</t>
  </si>
  <si>
    <t>100.000 lít</t>
  </si>
  <si>
    <t>Rượu Nếp quê hạthổNậm Nhùn</t>
  </si>
  <si>
    <t>120.000 lít</t>
  </si>
  <si>
    <t>Rượu ngô men lá Nậm Nhùn</t>
  </si>
  <si>
    <t>150.000 lít</t>
  </si>
  <si>
    <t>XÃ MƯỜNG MÔ</t>
  </si>
  <si>
    <t>100.000 lọ</t>
  </si>
  <si>
    <t>40.000 lọ</t>
  </si>
  <si>
    <t>30.000 lọ</t>
  </si>
  <si>
    <t>50.000 lọ</t>
  </si>
  <si>
    <t>Cao cà gai leo Nậm Nhùn</t>
  </si>
  <si>
    <t>50.000 hộp</t>
  </si>
  <si>
    <t>30.000 hộp</t>
  </si>
  <si>
    <t>25.000 hộp</t>
  </si>
  <si>
    <t>40.000 hộp</t>
  </si>
  <si>
    <t>Xã Nậm Hàng</t>
  </si>
  <si>
    <t>Trà Cà gai leo Nậm Nhùn</t>
  </si>
  <si>
    <t>XÃ NẬM HÀNG</t>
  </si>
  <si>
    <t>15.000 lit</t>
  </si>
  <si>
    <t>6.000 lit</t>
  </si>
  <si>
    <t>67.000 lit</t>
  </si>
  <si>
    <t>5.000 lit</t>
  </si>
  <si>
    <t>10.000 lit</t>
  </si>
  <si>
    <t>Bản Nậm Cày, xã Lê Lợi</t>
  </si>
  <si>
    <t>Mật ong Sìn Hồ</t>
  </si>
  <si>
    <t>9.00 lit</t>
  </si>
  <si>
    <t>Mật ong hoa rừng Lê Lợi</t>
  </si>
  <si>
    <t>7.00 lit</t>
  </si>
  <si>
    <t>Bản lao Chen, xã Lê Lợi</t>
  </si>
  <si>
    <t>Mật ong hoa Mắc ca Lê Lợi</t>
  </si>
  <si>
    <t>XÃ LÊ LỢI</t>
  </si>
  <si>
    <t>0,3tấn</t>
  </si>
  <si>
    <t>Cao Đương quy</t>
  </si>
  <si>
    <t>Khu 5,xã Sìn Hồ</t>
  </si>
  <si>
    <t>Chè dây Sìn Hồ</t>
  </si>
  <si>
    <t>Đông trùng hạ thảo cao nguyên Sìn Hồ tươi</t>
  </si>
  <si>
    <t>Khu 3, xã Sìn Hồ</t>
  </si>
  <si>
    <t>Đông trùng hạ thảo cao nguyên Sìn Hồ khô sấy thăng hoa</t>
  </si>
  <si>
    <t>Cao lá Atiso Sìn Hồ</t>
  </si>
  <si>
    <t>Cao Đương quy Sìn Hồ</t>
  </si>
  <si>
    <t>Chè Bông Mã Đề Mý Dao</t>
  </si>
  <si>
    <t>Khu 1, xã Sìn Hồ</t>
  </si>
  <si>
    <t>XÃ SÌN HỒ</t>
  </si>
  <si>
    <t>66 tấn</t>
  </si>
  <si>
    <t>xã Thèn Sin</t>
  </si>
  <si>
    <t>Gạo sén cù Thèn Sin</t>
  </si>
  <si>
    <t>Sản lượng ít nên tạm thời công ty tạm  ngừng sản xuất sản phẩm này</t>
  </si>
  <si>
    <t>Tổ 01, phường Tân Phong, TP Lai Châu</t>
  </si>
  <si>
    <t>Trà Hồng trà Sin Suối Hồ</t>
  </si>
  <si>
    <t xml:space="preserve">XÃ SIN SUỐI HỒ </t>
  </si>
  <si>
    <t>81 tấn</t>
  </si>
  <si>
    <t>Gạo nếp Khẩu Lương Phửng Phong Thổ</t>
  </si>
  <si>
    <t>Bản Nà Vàng, xã Khổng Lào</t>
  </si>
  <si>
    <t>Gạo tẻ râu Phong Thổ</t>
  </si>
  <si>
    <t>Bản Xin Chải,Khổng lào</t>
  </si>
  <si>
    <t>Trà xanh Shan tuyết cổ thụ Hoang Thèn</t>
  </si>
  <si>
    <t>XÃ KHỔNG LÀO</t>
  </si>
  <si>
    <t>Trà già Hoang Dã</t>
  </si>
  <si>
    <t>Trà hồng Hoang Dã</t>
  </si>
  <si>
    <t>Trà trắng Hoang Dã</t>
  </si>
  <si>
    <t>Trà vàng Hoang Dã</t>
  </si>
  <si>
    <t>Trà đỏ Hoang Dã</t>
  </si>
  <si>
    <t>Bản Lao Chải, xã Sì Lở Lầu</t>
  </si>
  <si>
    <t>Trà xanh Hoang Dã</t>
  </si>
  <si>
    <t>Hoàng trà shan Mồ Sì San</t>
  </si>
  <si>
    <t>Hồng trà shan Mồ Sì San</t>
  </si>
  <si>
    <t>Bản Tân Séo Phìn, xã Sì Lở Lầu</t>
  </si>
  <si>
    <t>Trà xanh shan Mồ Sì San</t>
  </si>
  <si>
    <t>XÃ SÌ LỞ LẦU</t>
  </si>
  <si>
    <t>Bản Hợp II, xã Dào San</t>
  </si>
  <si>
    <t>Bách Nhật tửu</t>
  </si>
  <si>
    <t>XÃ DÀO SAN</t>
  </si>
  <si>
    <t>Cá hồi xông khói Dương Yến</t>
  </si>
  <si>
    <t>Cá hồi Phi lê Dương Yến</t>
  </si>
  <si>
    <t xml:space="preserve">Cá tầm cắt khúc Dương Yến </t>
  </si>
  <si>
    <t>Thôn Thống Nhất, xã Phong Thổ</t>
  </si>
  <si>
    <t>64 tấn</t>
  </si>
  <si>
    <t>Miến dong Nậm So</t>
  </si>
  <si>
    <t>17 tấn</t>
  </si>
  <si>
    <t>Chuối sấy mật ong Phong Thổ</t>
  </si>
  <si>
    <t>Chuối sấy dẻo Phong Thổ</t>
  </si>
  <si>
    <t>Bản Vàng Bâu, xã Phong Thổ</t>
  </si>
  <si>
    <t>Chuối sấy giòn Phong Thổ</t>
  </si>
  <si>
    <t>0,9 tấn</t>
  </si>
  <si>
    <t>Lạp sườn thịt lợn Tâm Nhung</t>
  </si>
  <si>
    <t>Thịt lợn treo gác bếp Tâm Nhung</t>
  </si>
  <si>
    <t>Bản Vàng Pheo, xã Phong Thổ</t>
  </si>
  <si>
    <t>Thịt lợn sấy Tâm Nhung</t>
  </si>
  <si>
    <t>1.6 tấn</t>
  </si>
  <si>
    <t>1.000m2</t>
  </si>
  <si>
    <t>Nho mẫu đơn Phong Thổ</t>
  </si>
  <si>
    <t>1.8 tấn</t>
  </si>
  <si>
    <t>Nho Hạ đen Phong Thổ</t>
  </si>
  <si>
    <t>XÃ PHONG THỔ</t>
  </si>
  <si>
    <t>Xã Khoen On</t>
  </si>
  <si>
    <t>Bột thảo quả Khoen On</t>
  </si>
  <si>
    <t>XÃ KHOEN ON</t>
  </si>
  <si>
    <t>2000 lít</t>
  </si>
  <si>
    <t>Bản Pá Khoang, Xã Mường Kim</t>
  </si>
  <si>
    <t>XÃ MƯỜNG KIM</t>
  </si>
  <si>
    <t>Bản Khoang, xã Mường Than</t>
  </si>
  <si>
    <t>Mật ong Thanh Xuân</t>
  </si>
  <si>
    <t>Thịt lợn sấy Hồng Thưởng</t>
  </si>
  <si>
    <t>Bản Nà Khương, xã Mường Than</t>
  </si>
  <si>
    <t>Thịt trâu sấy Hồng Thưởng</t>
  </si>
  <si>
    <t>Lạp sườn hun khói Đức Thịnh</t>
  </si>
  <si>
    <t>Thịt lợn gác bếp Đức Thịnh</t>
  </si>
  <si>
    <t>Thịt trâu gác bếp Đức Thịnh</t>
  </si>
  <si>
    <t>Khô bò Đức Thịnh</t>
  </si>
  <si>
    <t>Bản Nặm Ngùa, xã Mường Than</t>
  </si>
  <si>
    <t>Ba chỉ gác bếp Đức Thịnh</t>
  </si>
  <si>
    <t>Đội 9, xã Mường Than</t>
  </si>
  <si>
    <t>Thịt lợn sấy Tân Minh Thuận</t>
  </si>
  <si>
    <t>XÃ MƯỜNG THAN</t>
  </si>
  <si>
    <t>10.000 cái</t>
  </si>
  <si>
    <t>4.000 cái</t>
  </si>
  <si>
    <t>4.000cái</t>
  </si>
  <si>
    <t>3.000cái</t>
  </si>
  <si>
    <t>5.000 cái</t>
  </si>
  <si>
    <t>Bản Đông, xã Than Uyên</t>
  </si>
  <si>
    <t>Đèn tre Lai Tay</t>
  </si>
  <si>
    <t>Khu 5a, xã Than Uyên</t>
  </si>
  <si>
    <t>Gạo nếp Co Giàng Dũng Long</t>
  </si>
  <si>
    <t>0,45 tấn</t>
  </si>
  <si>
    <t>Giò gà Tuấn Phương</t>
  </si>
  <si>
    <t>Xúc xích lợn Tuấn Phương</t>
  </si>
  <si>
    <t>1,25 tấn</t>
  </si>
  <si>
    <t>Giò bò nguyên chất Tuấn Phương</t>
  </si>
  <si>
    <t>Số nhà 356, đường Điện Biên Phủ, xã Than Uyên</t>
  </si>
  <si>
    <t>Xúc xích bò Tuấn Phương</t>
  </si>
  <si>
    <t xml:space="preserve"> xã Than Uyên</t>
  </si>
  <si>
    <t>Thịt lợn gác bếp Thắm Hùng</t>
  </si>
  <si>
    <t>Khu 7, xã Than Uyên</t>
  </si>
  <si>
    <t>Thịt trâu gác bếp Thắm Hùng</t>
  </si>
  <si>
    <t>Tôm tươi Ta Gia</t>
  </si>
  <si>
    <t>Cá Chép Than Uyên cắt khúc AA</t>
  </si>
  <si>
    <t>Nước cốt lẩu cá AA</t>
  </si>
  <si>
    <t>Viên thả lẩu cá AA</t>
  </si>
  <si>
    <t>Xóm Mới, xã Than Uyên</t>
  </si>
  <si>
    <t>Cá Rô FILE AA</t>
  </si>
  <si>
    <t>3.000m2</t>
  </si>
  <si>
    <t>Bản Ma, xã Than Uyên</t>
  </si>
  <si>
    <t>Nho mẫu đơn Than Uyên</t>
  </si>
  <si>
    <t>xã Than Uyên</t>
  </si>
  <si>
    <t>Rượu nếp men lá</t>
  </si>
  <si>
    <t>Lạp sườn Lợn đen Thiết Hà</t>
  </si>
  <si>
    <t>Khu 4, xã Than Uyên</t>
  </si>
  <si>
    <t xml:space="preserve">Thịt Lợn Đen Hun Khói Thiết Hà </t>
  </si>
  <si>
    <t>Khu 5, xã Than Uyên</t>
  </si>
  <si>
    <t>Mật ong Khau Pùm Tà Hừa</t>
  </si>
  <si>
    <t xml:space="preserve">Khu 3, thị trấn Than Uyên </t>
  </si>
  <si>
    <t>Chè Tu San</t>
  </si>
  <si>
    <t>Bản Đán Đăn  xã Than Uyên</t>
  </si>
  <si>
    <t>Nho hạ đen</t>
  </si>
  <si>
    <t>Gạo lứt Séng cù</t>
  </si>
  <si>
    <t>Gạo Séng cù</t>
  </si>
  <si>
    <t>3tấn</t>
  </si>
  <si>
    <t>Thịt trâu gác bếp Nhà Huyền</t>
  </si>
  <si>
    <t>20.000 lọ</t>
  </si>
  <si>
    <t>7.000 lọ</t>
  </si>
  <si>
    <t>5.000 lọ</t>
  </si>
  <si>
    <t>10.000 lọ</t>
  </si>
  <si>
    <t>Chẩm chéo Than Uyên</t>
  </si>
  <si>
    <t>Cá Trắm sấy Than Uyên</t>
  </si>
  <si>
    <t>Thịt bò khô Than Uyên</t>
  </si>
  <si>
    <t>Thịt heo khô Than Uyên</t>
  </si>
  <si>
    <t>Lạp sườn lợn đen Than Uyên</t>
  </si>
  <si>
    <t>Thịt lợn ba chỉ hun khói Than Uyên</t>
  </si>
  <si>
    <t>Thịt lợn gác bếp Than Uyên</t>
  </si>
  <si>
    <t>Thịt trâu sấy gia truyền Tùng Dương</t>
  </si>
  <si>
    <t>Thịt lợn gác bếp Thiết hà</t>
  </si>
  <si>
    <t>Thịt trâu gác bếp Thiết Hà</t>
  </si>
  <si>
    <t>Cá lăng cắt khúc AA</t>
  </si>
  <si>
    <t>Bản Hua Nà, Than Uyên</t>
  </si>
  <si>
    <t>XÃ THAN UYÊN</t>
  </si>
  <si>
    <t>550 cái</t>
  </si>
  <si>
    <t>300 cái</t>
  </si>
  <si>
    <t>200 cái</t>
  </si>
  <si>
    <t>500 cái</t>
  </si>
  <si>
    <t>Đàn tính tâủ</t>
  </si>
  <si>
    <t>Bản Nậm Khăn, xã Tà mít, huyện Tân Uyên</t>
  </si>
  <si>
    <t>Đàn nhị</t>
  </si>
  <si>
    <t>Nậm Sỏ</t>
  </si>
  <si>
    <t>Ống Quế Tân Uyên</t>
  </si>
  <si>
    <t>XÃ NẬM SỎ</t>
  </si>
  <si>
    <t>0.7 tấn</t>
  </si>
  <si>
    <t>Bản Pắc Ta, xã Pắc Ta</t>
  </si>
  <si>
    <t>Cốm Nếp co Giàng</t>
  </si>
  <si>
    <t>Bản Mít Nọi, xã Pắc Ta</t>
  </si>
  <si>
    <t>Mật ong Hố Mít</t>
  </si>
  <si>
    <t>XÃ PẮC TA</t>
  </si>
  <si>
    <t>20000 cây</t>
  </si>
  <si>
    <t>10000 cây</t>
  </si>
  <si>
    <t>5000 cây</t>
  </si>
  <si>
    <t>1000 cây</t>
  </si>
  <si>
    <t>Hô Tra, Mường Khoa</t>
  </si>
  <si>
    <t>Địa Lan</t>
  </si>
  <si>
    <t>20ha</t>
  </si>
  <si>
    <t>Bản Phúc Khoa, xã Phúc Khoa</t>
  </si>
  <si>
    <t>Trà kim tuyên Phúc Khoa</t>
  </si>
  <si>
    <t>XÃ MƯỜNG KHOA</t>
  </si>
  <si>
    <t>Lạp sườn lợn đen hun vỏ mía Đức Nhung</t>
  </si>
  <si>
    <t>Số nhà 015, ngõ Phạm Ngọc Thạch, xã Tân Uyên</t>
  </si>
  <si>
    <t>Thịt lợn sấy Đức Nhung</t>
  </si>
  <si>
    <t>Thịt ba chỉ lợn đen gác bếp Hà Phớ</t>
  </si>
  <si>
    <t>Tạng Đán, xã Tân Uyên</t>
  </si>
  <si>
    <t>Thịt trâu gác bếp hà Phớ</t>
  </si>
  <si>
    <t>TDP 01, xã Tân uyên</t>
  </si>
  <si>
    <t>Dưa lưới vàng Tân Uyên</t>
  </si>
  <si>
    <t>Dưa lưới Hoàng liên sơn</t>
  </si>
  <si>
    <t>Lạp sườn Nhiễu Kiên</t>
  </si>
  <si>
    <t>Khu 5, xã Tân Uyên</t>
  </si>
  <si>
    <t>Gà ủ thảo mộc Nhiễu Kiên</t>
  </si>
  <si>
    <t>TDP 1, xã Tân Uyên</t>
  </si>
  <si>
    <t>XÃ TÂN UYÊN</t>
  </si>
  <si>
    <t>Không đánh giá vì sản phẩm mới chứng nhận</t>
  </si>
  <si>
    <t>Bản Lao Chải 1, xã Khun Há</t>
  </si>
  <si>
    <t>Du lịch cộng đồng Bản Lao Chải 1</t>
  </si>
  <si>
    <t>XÃ KHUN HÁ</t>
  </si>
  <si>
    <t>Bản Sì Thâu Chải,xã Tả Lèng</t>
  </si>
  <si>
    <t xml:space="preserve">Du lịch cộng đồng Bản Sì Thâu Chải </t>
  </si>
  <si>
    <t>75 tấn</t>
  </si>
  <si>
    <t>Bản Giang Ma,xã Tả Lèng</t>
  </si>
  <si>
    <t>Lê Giang Ma</t>
  </si>
  <si>
    <t>3001 hộp</t>
  </si>
  <si>
    <t>500 hộp</t>
  </si>
  <si>
    <t>300 hộp</t>
  </si>
  <si>
    <t>1000 hộp/30gr</t>
  </si>
  <si>
    <t xml:space="preserve">Trà Sâm lá sen </t>
  </si>
  <si>
    <t>3000 hộp</t>
  </si>
  <si>
    <t>Bản Xin Chải, xã Tả Lèng</t>
  </si>
  <si>
    <t xml:space="preserve">Trà sâm núi Lai Châu </t>
  </si>
  <si>
    <t>XÃ TẢ LÈNG</t>
  </si>
  <si>
    <t>8 tạ</t>
  </si>
  <si>
    <t>Hồng Trà Cổ thụ Pu Ta Leng</t>
  </si>
  <si>
    <t>1600 hộp</t>
  </si>
  <si>
    <t>1500 hộp</t>
  </si>
  <si>
    <t>1000 hộp</t>
  </si>
  <si>
    <t>5.000 hộp</t>
  </si>
  <si>
    <t>Trà sữa Oolong xanh</t>
  </si>
  <si>
    <t>Trà sữa Matcha</t>
  </si>
  <si>
    <t xml:space="preserve">Trà sữa Oolong Hồng Trà </t>
  </si>
  <si>
    <t xml:space="preserve">Trà Matcha </t>
  </si>
  <si>
    <t xml:space="preserve">Trà Hồng trà </t>
  </si>
  <si>
    <t xml:space="preserve">Trà Kim tuyên </t>
  </si>
  <si>
    <t>120tấn</t>
  </si>
  <si>
    <t xml:space="preserve">Trà Sencha </t>
  </si>
  <si>
    <t xml:space="preserve">Trà Olong </t>
  </si>
  <si>
    <t>Bản Hưng Phong, xã
Bản Bo</t>
  </si>
  <si>
    <t xml:space="preserve">Trà Đông phương mỹ nhân </t>
  </si>
  <si>
    <t xml:space="preserve">Ô long trà Việt </t>
  </si>
  <si>
    <t>Bản Hưng Phong, xã Bản Bo</t>
  </si>
  <si>
    <t xml:space="preserve">Trà Ô long Kim Tuyên </t>
  </si>
  <si>
    <t>XÃ BẢN BO</t>
  </si>
  <si>
    <t>Bản Toòng Pẳn, Xã Bình Lư</t>
  </si>
  <si>
    <t>Miếng dong Vững Tâm</t>
  </si>
  <si>
    <t>150ha</t>
  </si>
  <si>
    <t>2.000 tấn</t>
  </si>
  <si>
    <t>1.000 tấn</t>
  </si>
  <si>
    <t>110ha</t>
  </si>
  <si>
    <t>Bản cò lá,  Xã Bình Lư</t>
  </si>
  <si>
    <t>Chanh leo Lai Châu</t>
  </si>
  <si>
    <t>Cá tầm cắt khúc</t>
  </si>
  <si>
    <t>Bản Chu Va 12,  Xã Bình Lư</t>
  </si>
  <si>
    <t>Cá hồi phi lê</t>
  </si>
  <si>
    <t>Bản Km2, Xã Bình Lư</t>
  </si>
  <si>
    <t>250  tấn</t>
  </si>
  <si>
    <t>140 tấn</t>
  </si>
  <si>
    <t>Gạo tẻ dẻo Tam Đường</t>
  </si>
  <si>
    <t>Xã Binh Lư</t>
  </si>
  <si>
    <t>Gạo Séng cù Tam Đường - Lai Châu</t>
  </si>
  <si>
    <t>Hoa đủ đủ đực khô</t>
  </si>
  <si>
    <t>Bản Trung Tâm, xã Bình Lư</t>
  </si>
  <si>
    <t>Hoa đu đủ đực ngâm mật ong</t>
  </si>
  <si>
    <t>10 hộ</t>
  </si>
  <si>
    <t>Bản Thống Nhất, xã Bình Lư</t>
  </si>
  <si>
    <t>Miến dong Gia Huy</t>
  </si>
  <si>
    <t>10tấn</t>
  </si>
  <si>
    <t>7tấn</t>
  </si>
  <si>
    <t>Thịt lợn gác bếp Lực Lệ</t>
  </si>
  <si>
    <t>Lạp sườn hun khói Lực Lệ</t>
  </si>
  <si>
    <t>Thịt trâu gác bếp Lực Lệ</t>
  </si>
  <si>
    <t>XÃ BÌNH LƯ</t>
  </si>
  <si>
    <t>Bản Gia Khâu I, Đoàn Kết</t>
  </si>
  <si>
    <t>Điểm du lịch cộng đồng bản Gia Khâu I</t>
  </si>
  <si>
    <t>15 tạ</t>
  </si>
  <si>
    <t>7,5 tạ</t>
  </si>
  <si>
    <t>6 tạ</t>
  </si>
  <si>
    <t>10 tạ</t>
  </si>
  <si>
    <t>Thịt trâu sấy Pờ Ma Lung</t>
  </si>
  <si>
    <t xml:space="preserve">7,2 tạ </t>
  </si>
  <si>
    <t>7 tạ</t>
  </si>
  <si>
    <t>Thịt lợn sấy Pờ Ma Lung</t>
  </si>
  <si>
    <t>Tổ 2, phường Đoàn Kết</t>
  </si>
  <si>
    <t>Rượu ngô men lá Lai Châu</t>
  </si>
  <si>
    <t>0,42 tấn</t>
  </si>
  <si>
    <t>Tổ 8, phường Đoàn Kết</t>
  </si>
  <si>
    <t>Đông trùng hạ thảo sấy thăng hoa Putaleng</t>
  </si>
  <si>
    <t>Tổ 10, phường Đoàn Kết</t>
  </si>
  <si>
    <t xml:space="preserve">Thịt trâu sấy A Lử Food </t>
  </si>
  <si>
    <t>Đông trùng hạ thảo tươi Hoàng Ngân</t>
  </si>
  <si>
    <t>Tổ 8, phường Đoàn kết</t>
  </si>
  <si>
    <t>Đông trùng hạ sấy thăng hoa Hoàng Ngân</t>
  </si>
  <si>
    <t>6.000kg</t>
  </si>
  <si>
    <t>5.000kg</t>
  </si>
  <si>
    <t>10.000 kg</t>
  </si>
  <si>
    <t>Đông trùng hạ thảo ngâm mật ong</t>
  </si>
  <si>
    <t>Đông trùng hạ thảo sấy thăng hoa</t>
  </si>
  <si>
    <t>Bột đông trùng hạ thảo</t>
  </si>
  <si>
    <t>Tổ 2, Đường 19/8, phường Đoàn Kết</t>
  </si>
  <si>
    <t>Đông trùng hạ thảo sinh khối tươi</t>
  </si>
  <si>
    <t>12.000 lọ</t>
  </si>
  <si>
    <t>Chẩm chéo Tây Bắc TV</t>
  </si>
  <si>
    <t>Khô bò Tây Bắc TV</t>
  </si>
  <si>
    <t>25 tấn</t>
  </si>
  <si>
    <t>Thịt lợn gác bếp Tây Bắc TV</t>
  </si>
  <si>
    <t>8tấn</t>
  </si>
  <si>
    <t>264 đường Trần Hưng Đạo, P. Đoàn Kết</t>
  </si>
  <si>
    <t>Thịt trâu gác bếp Tây Bắc TV</t>
  </si>
  <si>
    <t>Tổ 6, phường đoàn kết</t>
  </si>
  <si>
    <t>Đông trùng hạ thảo khô nguyên sợi</t>
  </si>
  <si>
    <t>1.900 hộp</t>
  </si>
  <si>
    <t>1.800 hộp</t>
  </si>
  <si>
    <t>Thuốc chữa bệnh gan A Súa</t>
  </si>
  <si>
    <t>70.000kg</t>
  </si>
  <si>
    <t>40.000 kg</t>
  </si>
  <si>
    <t>30.000 kg</t>
  </si>
  <si>
    <t>50.000kg</t>
  </si>
  <si>
    <t>Tổ 7, phường Đoàn Kết</t>
  </si>
  <si>
    <t>Hoa thảo khô thuần chay</t>
  </si>
  <si>
    <t>Thịt ba chỉ hun khói</t>
  </si>
  <si>
    <t>Số 012, ngõ 167, đường Trần Hưng Đạo, phường Đoàn Kết</t>
  </si>
  <si>
    <t>Lạp sườn hun khói</t>
  </si>
  <si>
    <t>PHƯỜNG ĐOÀN KẾT</t>
  </si>
  <si>
    <t>Tổ 22, phường Tân Phong</t>
  </si>
  <si>
    <t xml:space="preserve">Thịt trâu sấy </t>
  </si>
  <si>
    <t>Rượu Hơ mông nếp men lá</t>
  </si>
  <si>
    <t>Số nhà 185, đường Lê Duẩn, tổ 1, phường Tân Phong</t>
  </si>
  <si>
    <t>Rượu Hơ mông ngô men lá</t>
  </si>
  <si>
    <t>2.000 cái</t>
  </si>
  <si>
    <t>700 cái</t>
  </si>
  <si>
    <t>1.000 cái</t>
  </si>
  <si>
    <t>Bản Xì Miền Khan, Phường Tân Phong</t>
  </si>
  <si>
    <t>Khèn mông A Dũng</t>
  </si>
  <si>
    <t>30.000 cái</t>
  </si>
  <si>
    <t>13.000 cái</t>
  </si>
  <si>
    <t>11.000 cái</t>
  </si>
  <si>
    <t>20.000 cái</t>
  </si>
  <si>
    <t>Bản San Thàng, Phường Tân Phong</t>
  </si>
  <si>
    <t>Bánh trưng xanh Hoàng Mai</t>
  </si>
  <si>
    <t>10.000 bộ</t>
  </si>
  <si>
    <t>2.600 bộ</t>
  </si>
  <si>
    <t>2.500 bộ</t>
  </si>
  <si>
    <t>2.000 bộ</t>
  </si>
  <si>
    <t>5. 000 bộ</t>
  </si>
  <si>
    <t>Bộ dao rèn thủ công A Thu</t>
  </si>
  <si>
    <t>Tổ 24 phường Tân Phong</t>
  </si>
  <si>
    <t>Mật ong rừng Tây Bắc</t>
  </si>
  <si>
    <t>Tổ 22 phường Tân Phong</t>
  </si>
  <si>
    <t>Thịt lợn sấy</t>
  </si>
  <si>
    <t>Tổ 1 phường Tân Phong</t>
  </si>
  <si>
    <t>Rượu chuối Đà Giang</t>
  </si>
  <si>
    <t>Tổ 10, phường Tân Phong</t>
  </si>
  <si>
    <t>Trà sâm - Đông trùng hạ thảo Vinh Thúy</t>
  </si>
  <si>
    <t>5.000 lít</t>
  </si>
  <si>
    <t>Rượu vang chuối Lai Châu</t>
  </si>
  <si>
    <t>Rượu chuối hương vị truyền thống</t>
  </si>
  <si>
    <t>Rượu chuối macca</t>
  </si>
  <si>
    <t>Rượu chuối (chuối hột)</t>
  </si>
  <si>
    <t>Số nhà 003, Đặng Thái Mai, phường Tân Phong</t>
  </si>
  <si>
    <t>Rượu chuối (hương vị cam chuối)</t>
  </si>
  <si>
    <t>Tổ 10, phường
 Tân Phong</t>
  </si>
  <si>
    <t>Đông trùng hạ thảo huy hùng (sấy khô)</t>
  </si>
  <si>
    <t>Đông trùng hạ thảo An Ngân - Quả thể tươi</t>
  </si>
  <si>
    <t>Tổ 23, Phường Tân Phong</t>
  </si>
  <si>
    <t>Đông trùng hạ thảo An Ngân - Sấy Thăng hoa</t>
  </si>
  <si>
    <t>Thịt trâu sấy Trường Hà</t>
  </si>
  <si>
    <t>Tổ 25, Phường Tân Phong</t>
  </si>
  <si>
    <t>Thịt lợn sấy Trường Hà</t>
  </si>
  <si>
    <t xml:space="preserve">500 tấn </t>
  </si>
  <si>
    <t xml:space="preserve">Chè Shan Trúc Thanh </t>
  </si>
  <si>
    <t>Thịt trâu gác bếp Long Liên</t>
  </si>
  <si>
    <t>Tổ 19, phường Tân Phong</t>
  </si>
  <si>
    <t>Ruốc thịt lợn đen Mười Phương</t>
  </si>
  <si>
    <t>55.000 lít</t>
  </si>
  <si>
    <t>Tổ 26, phường Đông Phong</t>
  </si>
  <si>
    <t>Rượu 25 - Rượu Nếp lật</t>
  </si>
  <si>
    <t>5000 lít</t>
  </si>
  <si>
    <t>Rượu mắc ca</t>
  </si>
  <si>
    <t>8.500 lít</t>
  </si>
  <si>
    <t>Bản San Thàng 2, Phường Tân Phong</t>
  </si>
  <si>
    <t>PHƯỜNG TÂN PHONG</t>
  </si>
  <si>
    <t>BIỂU 03. KẾT QUẢ THỰC HIỆN NGHỊ QUYẾT SỐ 05-NQ/TU CỦA TỈNH ỦY VỀ PHÁT TRIỂN NÔNG NGHIỆP HÀNG HÓA TẬP TRUNG 
GIAI ĐOẠN 2021-2025, ĐỊNH HƯỚNG NĂM 2030</t>
  </si>
  <si>
    <t>Ghi 
chú</t>
  </si>
  <si>
    <t>X</t>
  </si>
  <si>
    <t>Công ty cổ phần sản xuất tinh dầu quế Mường Tè</t>
  </si>
  <si>
    <t xml:space="preserve">Xã Chăn Nưa </t>
  </si>
  <si>
    <t>Nhà máy chế biến mủ cao su</t>
  </si>
  <si>
    <t>Công ty cổ phần Quốc tế xanh Việt Nam</t>
  </si>
  <si>
    <t>Công ty cổ phần đầu tư thương mại và dịch vụ Khuất Gia</t>
  </si>
  <si>
    <t>Xã Hồng Thu</t>
  </si>
  <si>
    <t>Công ty cổ phần đầu tư phát triển chè Tam Đường</t>
  </si>
  <si>
    <t xml:space="preserve">Xã Phong Thổ </t>
  </si>
  <si>
    <t>Công ty TNHH sản xuất và chế biến thức ăn chăn nuôi LC</t>
  </si>
  <si>
    <t>Xã Mường Kim</t>
  </si>
  <si>
    <t>Công ty CP Liên Việt Lai Châu (mắc ca)</t>
  </si>
  <si>
    <t>Xã Pắc Ta</t>
  </si>
  <si>
    <t>Xã Mường Khoa</t>
  </si>
  <si>
    <t>Nhà máy chế biến chè Công ty CP Chè Nhật Gia Huy</t>
  </si>
  <si>
    <t>Xã Tân Uyên</t>
  </si>
  <si>
    <t>HTX Hội cựu TNXP Tân Uyên (mắc ca)</t>
  </si>
  <si>
    <t>Công ty TNHH XDTM &amp; Nông lâm sản Toàn Ngọc (gỗ)</t>
  </si>
  <si>
    <t>Xã Bản Bo</t>
  </si>
  <si>
    <t>Công ty CP đầu tư phát triển chè Tam Đường</t>
  </si>
  <si>
    <t>Công ty cổ phần Trà Long Dương Lai Châu</t>
  </si>
  <si>
    <t>Công ty TNHH MTV Trường Giang Lai Châu (Mắc ca)</t>
  </si>
  <si>
    <t>Phường Tân Phong</t>
  </si>
  <si>
    <t xml:space="preserve">Công ty TNHH chè Shan Trúc Thanh </t>
  </si>
  <si>
    <t>Nhà đầu tư tự thỏa thuận, liên kết đầu tư (tự thực hiện)</t>
  </si>
  <si>
    <t>Hỗ trợ của nhà nước</t>
  </si>
  <si>
    <t>Đang khảo sát, lập chủ trương đầu tư</t>
  </si>
  <si>
    <t>Đã được chấp thuận chủ chương đầu tư (nhưng chưa đầu tư)</t>
  </si>
  <si>
    <t>Đang thực hiện đầu tư</t>
  </si>
  <si>
    <t>Đã đi vào hoạt động</t>
  </si>
  <si>
    <t>Nguồn lực đầu tư</t>
  </si>
  <si>
    <t>Tiến độ đến thời điểm hiện tại</t>
  </si>
  <si>
    <t>Tên cơ sở/dự án</t>
  </si>
  <si>
    <t>Phát triển cây mắc ca</t>
  </si>
  <si>
    <t>So với mục tiêu (%)</t>
  </si>
  <si>
    <t>Hỗ trợ phát triển nông nghiệp ứng dụng công nghệ cao</t>
  </si>
  <si>
    <t>9.1</t>
  </si>
  <si>
    <t>9.2</t>
  </si>
  <si>
    <t>Hỗ trợ hầm biogas và đệm lót sinh học</t>
  </si>
  <si>
    <t>11.1</t>
  </si>
  <si>
    <t>11.2</t>
  </si>
  <si>
    <t>17.1</t>
  </si>
  <si>
    <t>17.2</t>
  </si>
  <si>
    <t>Cơ sở chăn nuôi đại gia súc, gia súc tập trung</t>
  </si>
  <si>
    <t>5.1</t>
  </si>
  <si>
    <t>5.2</t>
  </si>
  <si>
    <t>1.500 ống</t>
  </si>
  <si>
    <t>BIỂU 06. KẾT QUẢ THỰC HIỆN NGHỊ QUYẾT SỐ 05-NQ/TU CỦA TỈNH ỦY VỀ PHÁT TRIỂN NÔNG NGHIỆP HÀNG HÓA TẬP TRUNG GIAI ĐOẠN 2021-2025, ĐỊNH HƯỚNG NĂM 2030 DO TỔ CHỨC, CÁ NHÂN TỰ ĐẦU TƯ THỰC HIỆN</t>
  </si>
  <si>
    <t>Diện tích  rau, củ quả tập trung</t>
  </si>
  <si>
    <t>Chuồng trại chăn nuôi</t>
  </si>
  <si>
    <t>Hầm biogas và đệm lót sinh học</t>
  </si>
  <si>
    <t>Hầm biogas</t>
  </si>
  <si>
    <t>Đệm lót sinh học</t>
  </si>
  <si>
    <t>Diện tích trồng cỏ chăn nuôi</t>
  </si>
  <si>
    <t>Tấn/năm</t>
  </si>
  <si>
    <t>Ghi chú: Hiện tại đã công nhận được 268 sản phẩm trong đó 226 sản phẩm còn hạn và 42 sản phẩm hết hạn nên không thống kê vào biểu</t>
  </si>
  <si>
    <t>Phát triển hoa, rau tập trung</t>
  </si>
  <si>
    <t>Phát triển nông nghiệp ứng dụng công nghệ cao</t>
  </si>
  <si>
    <t>Nhà màng, nhà lưới</t>
  </si>
  <si>
    <t>Hệ thống tưới</t>
  </si>
  <si>
    <t>Chương trình MTQG phát triển kinh tế - xã hội vùng đồng bào DTTS và MN từ năm 2022-2025 + Theo NQ 13/2019/NQ-HĐND</t>
  </si>
  <si>
    <t xml:space="preserve"> Chương trình MTQG phát triểnKT-XH vùng đồng bào DTTS và MN</t>
  </si>
  <si>
    <t>Theo NQ 13/2019/NQ-HĐND</t>
  </si>
  <si>
    <t>NQ 13/2019/NQ-HĐND</t>
  </si>
  <si>
    <t>NQ 07/2021/NQ-HĐND</t>
  </si>
  <si>
    <t>Quý II/2026 - Quý II/2027</t>
  </si>
  <si>
    <t>Bản Chát, xã Mường Kim, tỉnh Lai Châu</t>
  </si>
  <si>
    <t>Công ty TNHH đầu tư xây dựng và phát triển nông nghiệp Lai Châu</t>
  </si>
  <si>
    <t>Trang trại chăn nuôi lợn tại xã Mường Kim</t>
  </si>
  <si>
    <t>Quý I/2026 - Quý I/2027</t>
  </si>
  <si>
    <t>Xã Phong Thổ</t>
  </si>
  <si>
    <t>Nhà máy chến biến thức ăn chăn nuôi</t>
  </si>
  <si>
    <t>IV/2025 - IV/2026</t>
  </si>
  <si>
    <t>Xã Bum Tở</t>
  </si>
  <si>
    <t>QĐ số 2068/QĐ-UBND ngày 31/7/2025</t>
  </si>
  <si>
    <t>Nhà máy chế biến tinh dầu quế</t>
  </si>
  <si>
    <t>II/2026 - I/2028</t>
  </si>
  <si>
    <t>Xã San Thàng, thành phố Lai Châu</t>
  </si>
  <si>
    <t>QĐ số 1493/QĐ-UBND ngày 23/6/2025</t>
  </si>
  <si>
    <t xml:space="preserve">Chăn nuôi lợn tại bản Phan Lìn, xã San Thàng, thành phố Lai Châu </t>
  </si>
  <si>
    <t>IV/2026 - IV/2028</t>
  </si>
  <si>
    <t>Thị trấn Nậm Nhùn, huyện Nậm Nhùn</t>
  </si>
  <si>
    <t>QĐ số 717/QĐ-UBND ngày 07/5/2025</t>
  </si>
  <si>
    <t>Nhà máy chế biến Măng tại huyện Nậm Nhùn</t>
  </si>
  <si>
    <t>Quý I/2026 - Quý IV/2027</t>
  </si>
  <si>
    <t>Xã Căn Co, huyện Sìn Hồ, tỉnh Lai Châu</t>
  </si>
  <si>
    <t>Trang trại chăn nuôi lợn công nghệ cao tại xã Căn Co, huyện Sìn Hồ</t>
  </si>
  <si>
    <t>Quý III/2025 - Quý IV/2026</t>
  </si>
  <si>
    <t>Thị trấn Phong Thổ, huyện Phong Thổ</t>
  </si>
  <si>
    <t>Công ty cổ phần Đại lâm mộc Tây bắc LC</t>
  </si>
  <si>
    <t>QĐ số 609/QĐ-UBND ngày 03/4/2025</t>
  </si>
  <si>
    <t>Nhà máy chế biến nông lâm sản 1 tại thị trấn Phong Thổ</t>
  </si>
  <si>
    <t>I/2025 - II/2026</t>
  </si>
  <si>
    <t>Xã Bản Giang, huyện Tam Đường</t>
  </si>
  <si>
    <t>QĐ số 221/QĐ-UBND ngày 05/02/2025</t>
  </si>
  <si>
    <t>Xây dựng Nhà máy sản xuất thương mại và xuất khẩu trà</t>
  </si>
  <si>
    <t>II/2025 - IV/2026</t>
  </si>
  <si>
    <t>Xã Mường Mít, huyện Than Uyên</t>
  </si>
  <si>
    <t>Công ty cổ phần đầu tư xuất nhập khẩu nông lâm sản Phương Bắc</t>
  </si>
  <si>
    <t>QĐ số 220/QĐ-UBND ngày 05/02/2025</t>
  </si>
  <si>
    <t>Trồng rừng sản xuất tại xã Mường Mít, huyện Than Uyên</t>
  </si>
  <si>
    <t>Trồng quế 121,046ha và các hạng mục phụ trợ</t>
  </si>
  <si>
    <t>II/2025-III/2026</t>
  </si>
  <si>
    <t>Xã Mù Cả huyện Mường Tè</t>
  </si>
  <si>
    <t>Công ty cổ phần đầu tư thương mại Châu Đức</t>
  </si>
  <si>
    <t>QĐ số 111/QĐ-UBND ngày 17/01/2025</t>
  </si>
  <si>
    <t>Trồng rừng sản xuất loài cây quế tại xã Mù Cả, huyện Mường Tè, tỉnh Lai Châu</t>
  </si>
  <si>
    <t>Quý IV/2024 - Quý IV/2026</t>
  </si>
  <si>
    <t>Các xã Pắc Ta, Nậm Cần,Tà Mít huyện Tân Uyên và xã Pha Mu huyện Than Uyên</t>
  </si>
  <si>
    <t>Công ty cổ phần nông lâm FoBic</t>
  </si>
  <si>
    <t>QĐ số 1586/QĐ-UBND ngày 11/11/2024</t>
  </si>
  <si>
    <t>Trồng và Phát triển rừng Fobic tại huyện Tân Uyên, Than Uyên</t>
  </si>
  <si>
    <t>I/2023 - 12/2025</t>
  </si>
  <si>
    <t>QĐ số 06/QĐ-UBND ngày 04/01/2023
QĐ số 522/QĐ-UBND ngày 08/4/2024
QĐ số 1932/QĐ-UBND ngày 14/7/2025</t>
  </si>
  <si>
    <t>5000 tấn/năm</t>
  </si>
  <si>
    <t>II/2023 - I/2024</t>
  </si>
  <si>
    <t>Xã Lê Lợi, huyện Nậm Nhùn</t>
  </si>
  <si>
    <t>Công ty cổ phần cao su Lai Châu II</t>
  </si>
  <si>
    <t>QĐ số 1717/QĐ-UBND ngày 26/12/2022</t>
  </si>
  <si>
    <t>Nhà máy chế biến mủ cao su Lai Châu II</t>
  </si>
  <si>
    <t>489 ha</t>
  </si>
  <si>
    <t>II/2024 - IV/2025</t>
  </si>
  <si>
    <t>Các xã Nậm Cha, Nậm Hăn, huyện Sìn Hồ, tỉnh Lai Châu</t>
  </si>
  <si>
    <t>Công ty cổ phần Tập đoàn Quốc tế KTD Đại Việt</t>
  </si>
  <si>
    <t>QĐ số 135/QĐ-UBND ngày 06/02/2024</t>
  </si>
  <si>
    <t>Trồng rừng trồng cây Hông tại huyện Sìn Hồ</t>
  </si>
  <si>
    <t>128,46 ha</t>
  </si>
  <si>
    <t>Xã Nậm Cần, huyện Tân Uyên, tỉnh Lai Châu</t>
  </si>
  <si>
    <t>Công ty TNHH MTV Thái Lai Tâm Tuệ An</t>
  </si>
  <si>
    <t>QĐ số 134/QĐ-UBND ngày 06/02/2024</t>
  </si>
  <si>
    <t>Trồng rừng công nghệ cao tại xã Nậm Cần, huyện Tân Uyên</t>
  </si>
  <si>
    <t>41,41ha</t>
  </si>
  <si>
    <t>I/2024-III/2024</t>
  </si>
  <si>
    <t>xã Huổi Luông, huyện Phong Thổ</t>
  </si>
  <si>
    <t>Công ty TNHH trồng và chế biến nông lâm sản Lai Châu</t>
  </si>
  <si>
    <t>QĐ 2005/QĐ-UBND ngày 01/11/2023</t>
  </si>
  <si>
    <t>Trồng rừng sản xuất tại xã Huổi Luông, huyện Phong Thổ</t>
  </si>
  <si>
    <t>11000 tấn quả chuối tươi/năm</t>
  </si>
  <si>
    <t>Công ty TNHH MTV Hồng Vân</t>
  </si>
  <si>
    <t>QĐ 1958/QĐ-UBND ngày 20/10/2023</t>
  </si>
  <si>
    <t>Nhà máy chế biến nông lâm sản tại xã Mường So, huyện Phong Thổ</t>
  </si>
  <si>
    <t>QĐ 1959/QĐ-UBND ngày 20/10/2023</t>
  </si>
  <si>
    <t>2000 tấn búp tươi/năm</t>
  </si>
  <si>
    <t>Công ty cổ phần Chè Lai Châu</t>
  </si>
  <si>
    <t>QĐ 1956/QĐ-UBND ngày 20/10/2023</t>
  </si>
  <si>
    <t>Nhà máy chế biến chè chất lượng cao</t>
  </si>
  <si>
    <t>Công ty cổ phần Thành Đạt Xuân Lộc</t>
  </si>
  <si>
    <t>QĐ 1955/QĐ-UBND ngày 20/10/2023</t>
  </si>
  <si>
    <t>6500 tấn chè búp tươi/năm</t>
  </si>
  <si>
    <t>I/2022 - II/2023</t>
  </si>
  <si>
    <t>Công ty TNHH MTV giống vật tư Nông nghiệp Tây Bắc</t>
  </si>
  <si>
    <t>QĐ 461/QĐ-UBND ngày 20/3/2023</t>
  </si>
  <si>
    <t>Nhà máy chế biến chè tại xã Bản Giang, huyện Tam Đường</t>
  </si>
  <si>
    <t>I/2023 - IV/2023 
III/2025</t>
  </si>
  <si>
    <t>Công ty TNHH một thành viên nông lâm nghiệp Bateco</t>
  </si>
  <si>
    <t>QĐ 90/QĐ-UBND ngày 16/01/2023; QĐ 1162/QĐ-UBND ngày 06/8/2024</t>
  </si>
  <si>
    <t>Dự án phát triển trồng quế hữu cơ tại xã Pắc Ta, huyện Tân Uyên</t>
  </si>
  <si>
    <t>56,43ha</t>
  </si>
  <si>
    <t>IV/2022 - III/2024</t>
  </si>
  <si>
    <t>Quyết định số 1402/QĐ-UBND ngày 28/10/2022</t>
  </si>
  <si>
    <t>Trồng rừng sản xuất cây giổi và hạ tầng phục vụ</t>
  </si>
  <si>
    <t>III/2022 - III/2025</t>
  </si>
  <si>
    <t>Xã Nậm Cần, xã Tà Mít huyện Tân Uyên</t>
  </si>
  <si>
    <t>QĐ số 568/QĐ-UBND ngày 26/5/2022
QĐ số 502/QĐ-UBND ngày 02/4/2024</t>
  </si>
  <si>
    <t>Phát triển nông lâm nghiệp và dược liệu Fobic tại huyện Tân Uyên</t>
  </si>
  <si>
    <t>552,3ha</t>
  </si>
  <si>
    <t>Quý III/2022 - Quý IV/2025</t>
  </si>
  <si>
    <t>Xã Pa Vệ Sủ, huyện Mường Tè, tỉnh Lai Châu</t>
  </si>
  <si>
    <t>Công ty cổ phần sâm Pusilung</t>
  </si>
  <si>
    <t>Quyết định số 525/QĐ-UBND ngày 13/5/2022</t>
  </si>
  <si>
    <t>Trồng rừng gỗ lớn bằng cây bản địa, khoanh nuôi, bảo vệ rừng và bảo tồn phát triển cây lâm sản ngoài gỗ dưới tán rừng</t>
  </si>
  <si>
    <t>321,03ha</t>
  </si>
  <si>
    <t>Quý II/2022 - Tháng 1/2025</t>
  </si>
  <si>
    <t>Xã Pha Mu, huyện Than Uyên, tỉnh Lai Châu</t>
  </si>
  <si>
    <t>Công ty TNHH tư vấn xây dựng thủy lợi Miền Núi</t>
  </si>
  <si>
    <t>- QĐ số 453/QĐ-UBND ngày 19/4/2022
- QĐ số 181/QĐ-UBND ngày 28/02/2024</t>
  </si>
  <si>
    <t>Phát triển cây quế kết hợp trồng cây gỗ lớn tại huyện Than Uyên</t>
  </si>
  <si>
    <t>424 ha</t>
  </si>
  <si>
    <t>Quý II/2022 - Quý I/2026</t>
  </si>
  <si>
    <t>Xã Mường Mít, huyện Than Uyên, tỉnh Lai Châu</t>
  </si>
  <si>
    <t>Công ty TNHH MTV Nông lâm nghiệp Bateco Lai Châu</t>
  </si>
  <si>
    <t>- QĐ số 496/QĐ-UBND ngày 29/4/2022
- QĐ số 164/QĐ-UBND ngày 23/01/2025</t>
  </si>
  <si>
    <t>Trồng cây lâm nghiệp tại xã Mường Mít, huyện Than Uyên</t>
  </si>
  <si>
    <t>40000 tấn/năm</t>
  </si>
  <si>
    <t>QI/2022-QI/2023</t>
  </si>
  <si>
    <t>Tổ dân phố số 3, thị trấn Tân Uyên, huyện Tân Uyên, tỉnh Lai Châu</t>
  </si>
  <si>
    <t>Công ty cổ phần Thành Công Lai Châu</t>
  </si>
  <si>
    <t>QĐ số 1485/QĐ-UBND ngày 01/11/2021</t>
  </si>
  <si>
    <t>Nhà máy sản xuất phân bón hữu cơ Lai Châu</t>
  </si>
  <si>
    <t xml:space="preserve">4,5 tấn chè búp tươi/ngày </t>
  </si>
  <si>
    <t>QIV/2023- tháng 6/2024</t>
  </si>
  <si>
    <t>Thị trấn Tân Uyên, huyện Tân Uyên</t>
  </si>
  <si>
    <t>Công ty cổ phần trà tân uyên</t>
  </si>
  <si>
    <t>QĐ số 1801/QĐ-UBND ngày 31/12/2021
QĐ số 922/QĐ-UBND ngày 05/7/2023</t>
  </si>
  <si>
    <t xml:space="preserve">Nhà máy chế biến chè trong sản xuất nông nghiệp tại huyện Tân Uyên </t>
  </si>
  <si>
    <t>3763,43 ha</t>
  </si>
  <si>
    <t>III/2021-IV/2025</t>
  </si>
  <si>
    <t>Xã Mường Tè, Bum Tở, Nậm Khao, Pa Ủ huyện Mường Tè</t>
  </si>
  <si>
    <t>Công ty cổ phần phát triển rừng và tín chỉ Carbon</t>
  </si>
  <si>
    <t>- QĐ số 429/QĐ-UBND ngày 20/4/2021
- QĐ số 180/QĐ-UBND ngày 28/02/2024
- QĐ số 1043/QĐ-UBND ngày 22/7/2024</t>
  </si>
  <si>
    <t>Trồng và phát triển cây mắc ca kết hợp với một số loài cây nông, lâm nghiệp khác tại huyện Mường Tè</t>
  </si>
  <si>
    <t>954,01 ha</t>
  </si>
  <si>
    <t>I/2026 - IV/2026</t>
  </si>
  <si>
    <t>Xã Nậm Cuổi</t>
  </si>
  <si>
    <t>Công ty TNHH Him Lam Lai Châu</t>
  </si>
  <si>
    <t>QĐ số 399/QĐ-UBND ngày 12/4/2021
QĐ số 2264/QĐ-UBND ngày 26/8/2025</t>
  </si>
  <si>
    <t>Dự án phát triển cây mắc ca tại các xã: Nậm Cuổi, Nậm Hăn huyện Sìn Hồ</t>
  </si>
  <si>
    <t>196,58 ha</t>
  </si>
  <si>
    <t>QIII/2020-QIV/2021</t>
  </si>
  <si>
    <t>Xã Mường Mít,
 huyện Than Uyên</t>
  </si>
  <si>
    <t>Số: 1124/QĐ-UBND
 ngày 13/8/2020</t>
  </si>
  <si>
    <t>Trồng và phát triển cây mắc ca tại xã Mường Mít, huyện Than Uyên</t>
  </si>
  <si>
    <t>100,9 ha</t>
  </si>
  <si>
    <t>Xã Mường Cang, huyện Than Uyên</t>
  </si>
  <si>
    <t>Công ty TNHH HL Mắc ca Lai Châu</t>
  </si>
  <si>
    <t>Số: 1123/QĐ-UBND
 ngày 13/8/2020</t>
  </si>
  <si>
    <t>Trồng và phát triển cây mắc ca tại xã Mường Cang, huyện Than Uyên</t>
  </si>
  <si>
    <t>6,89 ha</t>
  </si>
  <si>
    <t>QII/2020-QIV/2021</t>
  </si>
  <si>
    <t>Lản Nhì Thàng, huyện Phong Thổ</t>
  </si>
  <si>
    <t>Công ty TNHH một thành viên Trường Giang Lai Châu</t>
  </si>
  <si>
    <t>Số: 687/QĐ-UBND
 ngày 08/6/2020</t>
  </si>
  <si>
    <t>Trồng và ươm cây mắc ca giống tại xã Lản Nhì Thàng, huyện Phong Thổ</t>
  </si>
  <si>
    <t>40 tấn chè búp tươi/ngày</t>
  </si>
  <si>
    <t>GĐ 1: QIII/2020-HT IV/2021
GGĐ 2: Từ năm 2031 nâng cấp dây truyền chế biến sâu</t>
  </si>
  <si>
    <t>Xã Mường Kim, huyện Than Uyên</t>
  </si>
  <si>
    <t>Công ty TNHH xây dựng Tuyền Phương</t>
  </si>
  <si>
    <t>Số: 371/QĐ-UBND
 ngày 08/4/2020</t>
  </si>
  <si>
    <t>Nhà máy chế biến chè và khu vực vườn ươm, xã Mường Kim, huyện Than Uyên</t>
  </si>
  <si>
    <t>271,06ha</t>
  </si>
  <si>
    <t>QII/2019
 - QIV/2023</t>
  </si>
  <si>
    <t>Xã Nậm Sỏ, huyện Tân Uyên</t>
  </si>
  <si>
    <t>Công ty cổ phần Dương Gia Lai Châu</t>
  </si>
  <si>
    <t>QĐ số 1562/QĐ-UBND ngày 25/11/2019
QĐ số 2092/QĐ-UBND ngày 17/11/2023</t>
  </si>
  <si>
    <t>Đầu tư phát triển cây mắc ca  kết hợp với một số cây lâm nghiệp tại xã Nậm Sỏ, huyện Tân Uyên.</t>
  </si>
  <si>
    <t>1184,43 ha</t>
  </si>
  <si>
    <t>T9/2019 
- 3/2020</t>
  </si>
  <si>
    <t>Các xã: Pắc Ta, 
Tà Mít, Nậm Cần, 
Mường Khoa, 
huyện Tân Uyên</t>
  </si>
  <si>
    <t>Công ty cổ phần
Liên Việt Lai Châu</t>
  </si>
  <si>
    <t>- QĐ số: 1296/QĐ-UBND ngày 10/10/2019
- QĐ số 622/QĐ-UBND ngày 28/5/2020
- QĐ số 991/QĐ-UBND ngày 03/7/2024</t>
  </si>
  <si>
    <t>Trồng và phát triển cây mắc ca  kết hợp với một số cây lâm nghiệp khác tại huyện Tân Uyên</t>
  </si>
  <si>
    <t>1.177 ha</t>
  </si>
  <si>
    <t>QIV/2018- QI/2025</t>
  </si>
  <si>
    <t>Xã Pha Mu, huyện Than Uyên</t>
  </si>
  <si>
    <t>Công ty Cổ phần Liên Việt Lai Châu</t>
  </si>
  <si>
    <t>Số: 1348/QĐ-UBND 
ngày 01/11/2018</t>
  </si>
  <si>
    <t>Trồng và phát triển cây Mắc ca tại xã Pha Mu, huyện Than Uyên</t>
  </si>
  <si>
    <t>80 ha</t>
  </si>
  <si>
    <t xml:space="preserve">
QII/2018 - QIV/2019</t>
  </si>
  <si>
    <t>Xã Mường Cang và Mường Kim, huyện Than Uyên</t>
  </si>
  <si>
    <t>Số 571/QĐ-UBND
 ngày 06/6/2018;
Số 1174/QĐ-UBND
 ngày 28/9/2018
Số 1342/QĐ-UBND 
ngày 16/9/2020</t>
  </si>
  <si>
    <t>Phát triển cây mắc ca, kết hợp với trồng các loại cây lâm nghiệp khác tại xã Mường Cang, Mường Kim, huyện Than Uyên</t>
  </si>
  <si>
    <t>2011-2012</t>
  </si>
  <si>
    <t>Km405 QL32 xã Sơn Bình, huyện Tam Đường</t>
  </si>
  <si>
    <t>Công ty cổ phần ván sợi MDF Minh Sơn</t>
  </si>
  <si>
    <t>23121000227
 ngày 06/1/2011</t>
  </si>
  <si>
    <t>Nhà máy sản xuất ván sợi MDF</t>
  </si>
  <si>
    <t>IV/2016 - IV/2023</t>
  </si>
  <si>
    <t xml:space="preserve"> - Thị trấn Sìn Hồ
- Xã Xà Dề Phìn</t>
  </si>
  <si>
    <t>- QĐ số 1601/QĐ-UBND ngày 21/11/2016;
- QĐ số 1589/QĐ-UBND ngày 17/12/2018
- QĐ số 1483/QĐ-UBND ngày 16/11/2022
- QĐ số 95/QĐ-UBND ngày 16/01/2023</t>
  </si>
  <si>
    <t>Xây dựng nhà máy chế biến chè và trồng chè tại huyện Sìn Hồ</t>
  </si>
  <si>
    <t>QI/2018
- QIII/2020</t>
  </si>
  <si>
    <t>Bản Nà Tăm 1, 2 xã Nậm Tăm, huyện Sìn Hồ</t>
  </si>
  <si>
    <t>Công ty cổ phần cao su Lai Châu</t>
  </si>
  <si>
    <t>1634/QĐ-UBND
 ngày 20/12/2017;
Đ/c 1657/QĐ-UBND
 ngày 13/12/2019</t>
  </si>
  <si>
    <t>Nhà máy chế biến mủ cao su</t>
  </si>
  <si>
    <t>500
 tấn/năm</t>
  </si>
  <si>
    <t>IV/2020 - Quý I/2025</t>
  </si>
  <si>
    <t>Xã Mường So, huyện Phong Thổ</t>
  </si>
  <si>
    <t>- QĐ số 1253/QĐ-UBND ngày 16/10/2017;
- QĐ 98/QĐ-SKHĐT ngày 03/12/2019
giãn tiến độ 
- QĐ số 1415/QĐ-UBND ngày 05/10/2020
- QĐ số 885/QĐ-UBND ngày 29/6/2023
- QĐ số 1011/QĐ-UBND ngày 10/7/2024</t>
  </si>
  <si>
    <t>Nhà máy chế biến Mắc Ca</t>
  </si>
  <si>
    <t xml:space="preserve">30 tấn chè búp tưới/ngày </t>
  </si>
  <si>
    <t>QI/2020-QIV/2025</t>
  </si>
  <si>
    <t>Bản Phiêng Tâm, xã Mường Khoa, Huyện Tân Uyên</t>
  </si>
  <si>
    <t>Công ty CP chè Nhật Gia Huy</t>
  </si>
  <si>
    <t>- QĐ số 13/QĐ-UBND ngày 08/01/2020
- QĐ số 2312/QĐ-UBND ngày 22/12/2023
- QĐ số 204/QĐ-UBND ngày 23/01/2025</t>
  </si>
  <si>
    <t>Ứng dụng công nghệ tự động hóa trong quá trình sản xuất, chế biến chè xanh sao lăn chất lượng cao</t>
  </si>
  <si>
    <t xml:space="preserve">
QIII/2017 - tháng 12 năm 2021
Quý II/2024 - Quý IV/2024</t>
  </si>
  <si>
    <t>- QĐ số 1143/QĐ-UBND ngày 29/9/2017
- QĐ số 752/QĐ-UBND ngày 25/6/2021
- QĐ số 726/QĐ-UBND ngày 23/5/2024</t>
  </si>
  <si>
    <t xml:space="preserve">
QIII/2017 - QIV/2017</t>
  </si>
  <si>
    <t xml:space="preserve"> 150
 lồng </t>
  </si>
  <si>
    <t>QII/2016 - QIV/2018</t>
  </si>
  <si>
    <t>Xã Bản Hon, huyện Tam Đường</t>
  </si>
  <si>
    <t>Công ty cổ phần Chằm Sơn</t>
  </si>
  <si>
    <t>480/QĐ-UBND 
ngày 26/4/2016</t>
  </si>
  <si>
    <t xml:space="preserve">Dự án đầu tư trồng rừng SX tại xã Bản Hon, huyện Tam Đường </t>
  </si>
  <si>
    <t>4,4 thành phẩm/ngày</t>
  </si>
  <si>
    <t>QI/2015 - QII/2015</t>
  </si>
  <si>
    <t>Bản Hoàng Hà, xã Pắc Ta, huyện Tân Uyên</t>
  </si>
  <si>
    <t>Công ty TNHH Chè Hồng Đức</t>
  </si>
  <si>
    <t>CNĐT 23121000287
 ngày 30/12/2014, 
ĐCngày 25/6/2015</t>
  </si>
  <si>
    <t>Dự án đầu tư xây dựng nhà máy chế biến Chè chất lượng cao</t>
  </si>
  <si>
    <t>10.000 tấn/năm</t>
  </si>
  <si>
    <t>QIV/2014 - QIV/2025</t>
  </si>
  <si>
    <t>Than Uyên (các xã: Mường Mít, Pha Mu, Mường Cang, Tà Hừa, Mường Kim) và Tân Uyên (Xã Tà Mít)</t>
  </si>
  <si>
    <t>Công ty Cổ phần Cao su Dầu Tiếng - Lai Châu</t>
  </si>
  <si>
    <t>23121000288 
ngày 30/12/2014</t>
  </si>
  <si>
    <t>Dự án đầu tư trồng 5.000 ha cao su tại hai huyện Than Uyên và Tân Uyên, tỉnh Lai Châu</t>
  </si>
  <si>
    <t>210 tấn SP/năm</t>
  </si>
  <si>
    <t>QII/2014 - QII/2015</t>
  </si>
  <si>
    <t xml:space="preserve">Bản Hưng Phong, xã Bản Bo, huyện Tam Đường </t>
  </si>
  <si>
    <t>23121000282 ngày 15/5/2014; ĐC lần 1 ngày 22/12/2014</t>
  </si>
  <si>
    <t>Dự án đầu tư xây dựng nhà máy chế biến Chè Ô Long chất lượng cao</t>
  </si>
  <si>
    <t xml:space="preserve">
</t>
  </si>
  <si>
    <t>QI/2013 - QII/2013</t>
  </si>
  <si>
    <t xml:space="preserve">Xã Bình Lư, huyện Tam Đường  </t>
  </si>
  <si>
    <t>CTCP Đầu tư phát triển Chè Tam Đường</t>
  </si>
  <si>
    <t>23121000269 
ngày 16/01/2013</t>
  </si>
  <si>
    <t>Dự án đầu tư xây dựng xưởng chế biến chè</t>
  </si>
  <si>
    <t>QIV/2012 - QIV/2015</t>
  </si>
  <si>
    <t xml:space="preserve">15 xã thuộc 2 huyện Sìn Hồ và Phong Thổ  </t>
  </si>
  <si>
    <t>23121000267 
ngày 23/10/2012</t>
  </si>
  <si>
    <t>Đầu tư phát triển 10.000 ha cao su tại huyện Sìn Hồ và Phong Thổ, tỉnh Lai Châu</t>
  </si>
  <si>
    <t>Trồng keo</t>
  </si>
  <si>
    <t>QIV2010-QIV/2021</t>
  </si>
  <si>
    <t>Tại xã Nậm Sỏ, huyện Tân Uyên</t>
  </si>
  <si>
    <t>Cty TNHH 1 thành viên xây dựng Phong Minh (Đổi tên thành Công ty TNHH Chiến Thắng)</t>
  </si>
  <si>
    <t xml:space="preserve">5871832305 ngày 31/12/2010, ĐC lần 1 ngày 30/12/2015;
QĐ 870/QĐ-UBND ngày 08/8/2018 </t>
  </si>
  <si>
    <t>Đầu tư trồng rừng SX tại xã Nậm Sỏ huyện Tân Uyên</t>
  </si>
  <si>
    <t>QIII/2010 - QIV/2011</t>
  </si>
  <si>
    <t>Xã Tà Hừa huyện Than Uyên</t>
  </si>
  <si>
    <t>Doanh nghiệp tư nhân XD và phát triển nông thôn</t>
  </si>
  <si>
    <t>23121000208 ngày 30/8/2010</t>
  </si>
  <si>
    <t>DA đầu tư trồng rừng SX tại xã Tà Hừa huyện Than Uyên</t>
  </si>
  <si>
    <t>Trồng keo, giổi, mỡ, tếch</t>
  </si>
  <si>
    <t>QIII/2009 - QIV/2015</t>
  </si>
  <si>
    <t>Tại xã Nậm Cần, huyện Tân Uyên</t>
  </si>
  <si>
    <t>Công ty TNHH đầu tư phát triển rừng Tây Bắc (Trước ĐC là Cty đầu tư XD Quyết Tiến)</t>
  </si>
  <si>
    <t>4613480371 ngày 10/11/2009, ĐC lần 1 ngày 05/12/2013; ĐC lần 2 ngày 07/3/2016</t>
  </si>
  <si>
    <t>DA đầu tư phát triển rừng phòng hộ và rừng sản xuất tại xã Nậm Cần huyện Tân Uyên</t>
  </si>
  <si>
    <t>22 ha trồng rừng (keo)</t>
  </si>
  <si>
    <t>2009-2013</t>
  </si>
  <si>
    <t xml:space="preserve">Tại 2 xã Thân Thuộc và Trung Đồng - Than Uyên (nay là Tân Uyên) </t>
  </si>
  <si>
    <t>HTX Thành Vinh</t>
  </si>
  <si>
    <t>23121000157 ngày 17/8/2009;
QĐ số 945/QĐ-UBND ngày 15/8/2018</t>
  </si>
  <si>
    <t>Trồng rừng sản xuất tại xã Thân Thuộc và xã Trung Đồng huyện Than Uyên (nay là huyện Tân Uyên)</t>
  </si>
  <si>
    <t>Trồng rừng 708 ha</t>
  </si>
  <si>
    <t>QII/2009- QIV/2025</t>
  </si>
  <si>
    <t>Tân Uyên, 
và Tam Đường</t>
  </si>
  <si>
    <t>Công ty CP Minh Sơn</t>
  </si>
  <si>
    <t>Số 23121000139 
ngày 06/3/2009; 
Đ/c CNĐKĐT
ngày 05/10/2018</t>
  </si>
  <si>
    <t>Đầu tư trồng rừng gắn với XD nhà máy chế biến gỗ và dầu Diesel sinh học từ cây Jatropha</t>
  </si>
  <si>
    <t>Đang 
triển khai thi công</t>
  </si>
  <si>
    <t>4990 lợn thịt /lứa</t>
  </si>
  <si>
    <t xml:space="preserve">TỔNG SỐ </t>
  </si>
  <si>
    <t>Hỗ trợ sản xuất lúa hàng hóa tập trung</t>
  </si>
  <si>
    <t>Hỗ trợ phát triển chè</t>
  </si>
  <si>
    <t>Kết quả thực hiện (giai đoạn 2021-2024)</t>
  </si>
  <si>
    <t>Phát triển Hoa địa lan</t>
  </si>
  <si>
    <t>Trong đó phát triển mới</t>
  </si>
  <si>
    <t>Cơ sở chăn nuôi gia súc</t>
  </si>
  <si>
    <t>Hoàn thiện hồ sơ</t>
  </si>
  <si>
    <t>In, mua, thiết kế bao bì</t>
  </si>
  <si>
    <t>Máy móc, thiết bị phục vụ sản xuất</t>
  </si>
  <si>
    <t>Điểm giới thiệu sản phẩm</t>
  </si>
  <si>
    <t>Trồng cỏ chăn nuôi</t>
  </si>
  <si>
    <t>Áp dụng tiêu chuẩn sản xuất</t>
  </si>
  <si>
    <t xml:space="preserve">Ước thực hiện đến năm 2025
</t>
  </si>
  <si>
    <t>Năm 2025 thực hiện 440 thùng tại các xã: Mường Kim (300 thùng), Than Uyên (110 thùng), Khoen On (30 thùng)</t>
  </si>
  <si>
    <t>Năm 2025 đã hỗ trợ phát triển mới được 35.568m3; tuy nhiên do một số cơ sở, HTX giải thể, lồng hỏng bỏ nuôi, nên tổng thể tích tập trung đến năm 2025 ước đạt 177.084 m3</t>
  </si>
  <si>
    <t>ha</t>
  </si>
  <si>
    <t>Năm 2025 thực hiện 54 ha tại xã Than Uyên</t>
  </si>
  <si>
    <t>Năm 2025 thực hiện 800 chậu tại xã Lê Lợi</t>
  </si>
  <si>
    <t>Xã Nậm Tăm</t>
  </si>
  <si>
    <t>Công ty Cổ phần cao su Lai Châu</t>
  </si>
  <si>
    <t>Xã Mường Than</t>
  </si>
  <si>
    <t>HTX Tea Tân Uyên</t>
  </si>
  <si>
    <t>Công ty chè Hồng Đức</t>
  </si>
  <si>
    <t>HTX Chè Mạnh Hoàn</t>
  </si>
  <si>
    <t>Công ty TNHH MTV chè Phương Nam</t>
  </si>
  <si>
    <t xml:space="preserve">Cơ sở chế biến chè Đại Thắng </t>
  </si>
  <si>
    <t>HTX Tea Hòa Phú</t>
  </si>
  <si>
    <t>Công ty cổ phần trà Than Uyên</t>
  </si>
  <si>
    <t>HTX chè Vinh Tâm</t>
  </si>
  <si>
    <t xml:space="preserve">HTX chè Liên Phương </t>
  </si>
  <si>
    <t>Công ty Cổ phần Trà Tân Uyên</t>
  </si>
  <si>
    <t>Công ty Cổ phần trà Nam Dương</t>
  </si>
  <si>
    <t>Cơ sở chế biến chè Công ty TNHH MTV An Lộc Phát</t>
  </si>
  <si>
    <t>Cơ sở chế biến chè hộ Phạm Đình Hòa</t>
  </si>
  <si>
    <t>Cơ sở chế biến chè Lê Thị Hà</t>
  </si>
  <si>
    <t xml:space="preserve">Công ty CP Đầu tư phát triển chè Tam Đường </t>
  </si>
  <si>
    <t>Công ty CP XNK Trà Sinh An Nam</t>
  </si>
  <si>
    <t>Công ty cổ phần trà Tây Bắc</t>
  </si>
  <si>
    <t>Năm 2025 thực hiện hỗ trợ 01 nhà máy chế biến chè chất lượng cao tại xã Sin Suối Hồ</t>
  </si>
  <si>
    <t>Xã Sin Suối Hồ</t>
  </si>
  <si>
    <t>Năm 2025 thực hiện hỗ trợ 4,2 ha</t>
  </si>
  <si>
    <r>
      <t xml:space="preserve">Tiến độ  
</t>
    </r>
    <r>
      <rPr>
        <i/>
        <sz val="12"/>
        <color theme="1"/>
        <rFont val="Times New Roman"/>
        <family val="1"/>
      </rPr>
      <t>(KC- HT)</t>
    </r>
  </si>
  <si>
    <r>
      <t xml:space="preserve">Tổng vốn
 đăng ký 
đầu tư
</t>
    </r>
    <r>
      <rPr>
        <i/>
        <sz val="12"/>
        <color theme="1"/>
        <rFont val="Times New Roman"/>
        <family val="1"/>
      </rPr>
      <t>(Triệu đồng)</t>
    </r>
  </si>
  <si>
    <t xml:space="preserve">Ghi chú: Tổng số có 62 dự án, trong đó giai đoạn 2021-2025 có 31 dự án được phê duyệt chủ trương đầu tư </t>
  </si>
  <si>
    <t>Liên kết theo chính sách hỗ trợ đất trồng lúa</t>
  </si>
  <si>
    <t>BIỂU 04. TỔNG HỢP KINH PHÍ GIẢI NGÂN NGUỒN VỐN HỖ TRỢ 
THEO NGHỊ QUYẾT SỐ 07/2021/NQ-HĐND GIAI ĐOẠN 2021-2025</t>
  </si>
  <si>
    <t>Tổng kinh phí đã giải ngân
 (triệu đồng)</t>
  </si>
  <si>
    <t>Thể tích nuôi cá nước lạnh tập trung (lũy kế)</t>
  </si>
  <si>
    <t>Mục tiêu NQ đến năm 2025</t>
  </si>
  <si>
    <t>Xây dựng khu cụm công nghiệp chế biến</t>
  </si>
  <si>
    <t>khu/cụm</t>
  </si>
  <si>
    <r>
      <t>Năm 2025 phát triển mới 1.500 m</t>
    </r>
    <r>
      <rPr>
        <vertAlign val="superscript"/>
        <sz val="11"/>
        <color theme="1"/>
        <rFont val="Times New Roman"/>
        <family val="1"/>
      </rPr>
      <t>3</t>
    </r>
    <r>
      <rPr>
        <sz val="11"/>
        <color theme="1"/>
        <rFont val="Times New Roman"/>
        <family val="1"/>
      </rPr>
      <t xml:space="preserve"> tại xã Pa Ủ, huyện Mường Tè </t>
    </r>
  </si>
  <si>
    <t>Trong đó hỗ trợ trồng mới</t>
  </si>
  <si>
    <t>Hỗ trợ phát triển mới đàn ong tập trung</t>
  </si>
  <si>
    <t xml:space="preserve">Công ty cổ phần đầu tư phát triển chè Tam Đường </t>
  </si>
  <si>
    <t>Công ty TNHH xây dựng Tuyền Phương (chế biến chè)</t>
  </si>
  <si>
    <t>HTX Nông nghiệp Mường Mít (mật ong)</t>
  </si>
  <si>
    <t>HTX Phúc Khoa (chế biến chè)</t>
  </si>
  <si>
    <t>HTX Tân Tiến (chế biến chè)</t>
  </si>
  <si>
    <t>HTX Tây Bắc (chế biến chè)</t>
  </si>
  <si>
    <t>HTX Thành Gia (chế biến chè)</t>
  </si>
  <si>
    <t>Cơ sở Nguyễn Đình Bắc (chế biến chè)</t>
  </si>
  <si>
    <t>Cơ sở Phạm Đình Vĩnh (chế biến chè)</t>
  </si>
  <si>
    <t>Cơ sở Lương Thị Tuyết (chế biến chè)</t>
  </si>
  <si>
    <t>HTX Quyết Tiến (chế biến chè)</t>
  </si>
  <si>
    <t>Công ty Thành Công Lai Châu (chế biến phân bón)</t>
  </si>
  <si>
    <t>Công ty TNHH MTV giống VTNN Tây Bắc (chế biến chè)</t>
  </si>
  <si>
    <t>Nhà máy chế biến chè chất lượng cao tại bản Đông Phong (Công ty Cổ phần chè Lai Châu)</t>
  </si>
  <si>
    <t>6.1</t>
  </si>
  <si>
    <t>6.2</t>
  </si>
  <si>
    <t>Tổng</t>
  </si>
  <si>
    <t>Hạt mắc ca Tân Uyên</t>
  </si>
  <si>
    <t>(Kèm theo Báo cáo số 134-BC/TU, ngày 02/3/2026 của Ban Chấp hành Đảng bộ tỉnh)
-----</t>
  </si>
  <si>
    <t>BIỂU 05. DANH MỤC CÁC DỰ ÁN LIÊN KẾT SẢN XUẤT VÀ TIÊU THỤ SẢN PHẨM NÔNG NGHIỆP</t>
  </si>
  <si>
    <t>BIỂU 07. TỔNG HỢP CÁC DỰ ÁN NÔNG, LÂM NGHIỆP ĐƯỢC PHÊ DUYỆT QUYẾT ĐỊNH CHỦ TRƯƠNG ĐẦU TƯ, CẤP GIẤY CHỨNG NHẬN ĐẦU TƯ</t>
  </si>
  <si>
    <t>BIỂU 08. RÀ SOÁT, ĐÁNH GIÁ TÌNH HÌNH PHÁT TRIỂN CÁC SẢN PHẨM OCOP ĐÃ ĐƯỢC CÔNG NHẬN CÒN THỜI HẠN
 (THỜI HẠN GIẤY CHỨNG NHẬN 36 THÁNG)</t>
  </si>
  <si>
    <t>BIỂU 09. DANH SÁCH CÁC NHÀ MÁY CHẾ BIẾN TRÊN ĐỊA BÀN TỈNH LAI CHÂU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</si>
</sst>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7">
    <numFmt numFmtId="164" formatCode="_(* #,##0.00_);_(* \(#,##0.00\);_(* &quot;-&quot;??_);_(@_)"/>
    <numFmt numFmtId="165" formatCode="_-* #,##0_-;\-* #,##0_-;_-* &quot;-&quot;_-;_-@_-"/>
    <numFmt numFmtId="166" formatCode="_-* #,##0.00_-;\-* #,##0.00_-;_-* &quot;-&quot;??_-;_-@_-"/>
    <numFmt numFmtId="167" formatCode="_(* #,##0_);_(* \(#,##0\);_(* &quot;-&quot;??_);_(@_)"/>
    <numFmt numFmtId="168" formatCode="_(* #,##0.0_);_(* \(#,##0.0\);_(* &quot;-&quot;??_);_(@_)"/>
    <numFmt numFmtId="169" formatCode="0.0000"/>
    <numFmt numFmtId="170" formatCode="_(* #,##0.0000_);_(* \(#,##0.0000\);_(* &quot;-&quot;??_);_(@_)"/>
    <numFmt numFmtId="171" formatCode="_(* #,##0.000_);_(* \(#,##0.000\);_(* &quot;-&quot;??_);_(@_)"/>
    <numFmt numFmtId="172" formatCode="_(* #,##0.00000_);_(* \(#,##0.00000\);_(* &quot;-&quot;??_);_(@_)"/>
    <numFmt numFmtId="173" formatCode="#,##0.0"/>
    <numFmt numFmtId="174" formatCode="_(* #,##0.0000_);_(* \(#,##0.0000\);_(* &quot;-&quot;?_);_(@_)"/>
    <numFmt numFmtId="175" formatCode="&quot;$&quot;#,##0.00"/>
    <numFmt numFmtId="176" formatCode="0.0"/>
    <numFmt numFmtId="177" formatCode="_-* #,##0_-;\-* #,##0_-;_-* &quot;-&quot;??_-;_-@_-"/>
    <numFmt numFmtId="178" formatCode="_-&quot;€&quot;* #,##0.00_-;\-&quot;€&quot;* #,##0.00_-;_-&quot;€&quot;* &quot;-&quot;??_-;_-@_-"/>
    <numFmt numFmtId="179" formatCode="_-&quot;€&quot;* #,##0_-;\-&quot;€&quot;* #,##0_-;_-&quot;€&quot;* &quot;-&quot;_-;_-@_-"/>
    <numFmt numFmtId="180" formatCode="_-* ###,0&quot;.&quot;00_-;\-* ###,0&quot;.&quot;00_-;_-* &quot;-&quot;??_-;_-@_-"/>
    <numFmt numFmtId="181" formatCode="_ &quot;\&quot;* #,##0_ ;_ &quot;\&quot;* \-#,##0_ ;_ &quot;\&quot;* &quot;-&quot;_ ;_ @_ "/>
    <numFmt numFmtId="182" formatCode="0.000000000"/>
    <numFmt numFmtId="183" formatCode="_ &quot;\&quot;* #,##0.00_ ;_ &quot;\&quot;* \-#,##0.00_ ;_ &quot;\&quot;* &quot;-&quot;??_ ;_ @_ "/>
    <numFmt numFmtId="184" formatCode="0.000%"/>
    <numFmt numFmtId="185" formatCode="_ * #,##0_ ;_ * \-#,##0_ ;_ * &quot;-&quot;_ ;_ @_ "/>
    <numFmt numFmtId="186" formatCode="_ * #,##0.00_ ;_ * \-#,##0.00_ ;_ * &quot;-&quot;??_ ;_ @_ "/>
    <numFmt numFmtId="187" formatCode=";;"/>
    <numFmt numFmtId="188" formatCode="0.000_)"/>
    <numFmt numFmtId="189" formatCode="\$#,##0\ ;\(\$#,##0\)"/>
    <numFmt numFmtId="190" formatCode="0.000"/>
    <numFmt numFmtId="191" formatCode="&quot;€&quot;\ \ \ \ #,##0_);\(&quot;€&quot;\ \ \ #,##0\)"/>
    <numFmt numFmtId="192" formatCode="&quot;€&quot;\ \ \ \ \ #,##0_);\(&quot;€&quot;\ \ \ \ \ #,##0\)"/>
    <numFmt numFmtId="193" formatCode="#."/>
    <numFmt numFmtId="194" formatCode="0&quot;.&quot;0000"/>
    <numFmt numFmtId="195" formatCode="#,##0\ &quot;€&quot;_);[Red]\(#,##0\ &quot;€&quot;\)"/>
    <numFmt numFmtId="196" formatCode="&quot;€&quot;###,0&quot;.&quot;00_);[Red]\(&quot;€&quot;###,0&quot;.&quot;00\)"/>
    <numFmt numFmtId="197" formatCode="_ * #,##0_)_£_ ;_ * \(#,##0\)_£_ ;_ * &quot;-&quot;_)_£_ ;_ @_ "/>
    <numFmt numFmtId="198" formatCode="#,##0.00\ &quot;F&quot;;[Red]\-#,##0.00\ &quot;F&quot;"/>
    <numFmt numFmtId="199" formatCode="&quot;£&quot;#,##0;[Red]\-&quot;£&quot;#,##0"/>
    <numFmt numFmtId="200" formatCode="_-* #,##0.0\ _F_-;\-* #,##0.0\ _F_-;_-* &quot;-&quot;??\ _F_-;_-@_-"/>
    <numFmt numFmtId="201" formatCode="0.00000000000E+00;\?"/>
    <numFmt numFmtId="202" formatCode="_-* #,##0\ &quot;F&quot;_-;\-* #,##0\ &quot;F&quot;_-;_-* &quot;-&quot;\ &quot;F&quot;_-;_-@_-"/>
    <numFmt numFmtId="203" formatCode="#,##0\ &quot;F&quot;;[Red]\-#,##0\ &quot;F&quot;"/>
    <numFmt numFmtId="204" formatCode="#,##0.00\ &quot;F&quot;;\-#,##0.00\ &quot;F&quot;"/>
    <numFmt numFmtId="205" formatCode="#,##0\ &quot;€&quot;;\-#,##0\ &quot;€&quot;"/>
    <numFmt numFmtId="206" formatCode="_-* #,##0\ &quot;DM&quot;_-;\-* #,##0\ &quot;DM&quot;_-;_-* &quot;-&quot;\ &quot;DM&quot;_-;_-@_-"/>
    <numFmt numFmtId="207" formatCode="_-* #,##0.00\ &quot;DM&quot;_-;\-* #,##0.00\ &quot;DM&quot;_-;_-* &quot;-&quot;??\ &quot;DM&quot;_-;_-@_-"/>
    <numFmt numFmtId="208" formatCode="#,##0.0_);[Red]\(#,##0.0\)"/>
    <numFmt numFmtId="209" formatCode="m&quot;月&quot;d&quot;日&quot;"/>
    <numFmt numFmtId="210" formatCode="&quot;€&quot;#,##0;[Red]\-&quot;€&quot;#,##0"/>
  </numFmts>
  <fonts count="113">
    <font>
      <sz val="12"/>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b/>
      <sz val="13"/>
      <color theme="1"/>
      <name val="Times New Roman"/>
      <family val="1"/>
    </font>
    <font>
      <sz val="13"/>
      <color theme="1"/>
      <name val="Times New Roman"/>
      <family val="1"/>
    </font>
    <font>
      <sz val="12"/>
      <name val="Times New Roman"/>
      <family val="1"/>
    </font>
    <font>
      <sz val="13"/>
      <color rgb="FFFF0000"/>
      <name val="Times New Roman"/>
      <family val="1"/>
    </font>
    <font>
      <b/>
      <sz val="13"/>
      <color rgb="FFFF0000"/>
      <name val="Times New Roman"/>
      <family val="1"/>
    </font>
    <font>
      <sz val="14"/>
      <color theme="1"/>
      <name val="Times New Roman"/>
      <family val="1"/>
    </font>
    <font>
      <b/>
      <sz val="14"/>
      <color theme="1"/>
      <name val="Times New Roman"/>
      <family val="1"/>
    </font>
    <font>
      <sz val="12"/>
      <color theme="1"/>
      <name val="Calibri"/>
      <family val="2"/>
      <scheme val="minor"/>
    </font>
    <font>
      <sz val="12"/>
      <color rgb="FFFF0000"/>
      <name val="Times New Roman"/>
      <family val="1"/>
    </font>
    <font>
      <b/>
      <sz val="12"/>
      <name val="Times New Roman"/>
      <family val="1"/>
    </font>
    <font>
      <b/>
      <i/>
      <sz val="12"/>
      <name val="Times New Roman"/>
      <family val="1"/>
    </font>
    <font>
      <i/>
      <sz val="12"/>
      <name val="Times New Roman"/>
      <family val="1"/>
    </font>
    <font>
      <sz val="11"/>
      <name val="Times New Roman"/>
      <family val="1"/>
    </font>
    <font>
      <sz val="12"/>
      <name val=".VnTime"/>
      <family val="2"/>
    </font>
    <font>
      <sz val="15"/>
      <color theme="1"/>
      <name val="Times New Roman"/>
      <family val="1"/>
    </font>
    <font>
      <sz val="12"/>
      <name val="Calibri"/>
      <family val="2"/>
      <scheme val="minor"/>
    </font>
    <font>
      <i/>
      <sz val="12"/>
      <color theme="1"/>
      <name val="Times New Roman"/>
      <family val="1"/>
    </font>
    <font>
      <i/>
      <sz val="13"/>
      <color theme="1"/>
      <name val="Times New Roman"/>
      <family val="1"/>
    </font>
    <font>
      <sz val="10"/>
      <name val="Arial"/>
      <family val="2"/>
    </font>
    <font>
      <b/>
      <sz val="13"/>
      <name val="Times New Roman"/>
      <family val="1"/>
    </font>
    <font>
      <sz val="13"/>
      <name val="Times New Roman"/>
      <family val="1"/>
    </font>
    <font>
      <i/>
      <sz val="14"/>
      <color theme="1"/>
      <name val="Times New Roman"/>
      <family val="1"/>
    </font>
    <font>
      <b/>
      <sz val="11"/>
      <name val="Times New Roman"/>
      <family val="1"/>
    </font>
    <font>
      <sz val="12"/>
      <color theme="1"/>
      <name val="Times New Roman"/>
      <family val="2"/>
    </font>
    <font>
      <sz val="14"/>
      <name val="Times New Roman"/>
      <family val="1"/>
    </font>
    <font>
      <sz val="12"/>
      <color theme="1"/>
      <name val="Times New Roman"/>
      <family val="2"/>
      <charset val="163"/>
    </font>
    <font>
      <i/>
      <sz val="14"/>
      <name val="Times New Roman"/>
      <family val="1"/>
    </font>
    <font>
      <sz val="10"/>
      <name val="Times New Roman"/>
      <family val="1"/>
    </font>
    <font>
      <b/>
      <i/>
      <sz val="13"/>
      <name val="Times New Roman"/>
      <family val="1"/>
    </font>
    <font>
      <i/>
      <sz val="13"/>
      <name val="Times New Roman"/>
      <family val="1"/>
    </font>
    <font>
      <b/>
      <sz val="9"/>
      <name val="Times New Roman"/>
      <family val="1"/>
    </font>
    <font>
      <sz val="11"/>
      <color theme="1"/>
      <name val="Calibri"/>
      <family val="2"/>
      <charset val="163"/>
      <scheme val="minor"/>
    </font>
    <font>
      <sz val="10"/>
      <name val=".VnArial"/>
      <family val="2"/>
    </font>
    <font>
      <sz val="14"/>
      <name val="??"/>
      <family val="3"/>
      <charset val="129"/>
    </font>
    <font>
      <sz val="12"/>
      <name val="????"/>
      <family val="1"/>
      <charset val="136"/>
    </font>
    <font>
      <sz val="10"/>
      <name val="???"/>
      <family val="3"/>
      <charset val="129"/>
    </font>
    <font>
      <sz val="14"/>
      <name val="VnTime"/>
    </font>
    <font>
      <b/>
      <u/>
      <sz val="14"/>
      <color indexed="8"/>
      <name val=".VnBook-AntiquaH"/>
      <family val="2"/>
    </font>
    <font>
      <sz val="12"/>
      <name val="¹ÙÅÁÃ¼"/>
      <charset val="129"/>
    </font>
    <font>
      <i/>
      <sz val="12"/>
      <color indexed="8"/>
      <name val=".VnBook-AntiquaH"/>
      <family val="2"/>
    </font>
    <font>
      <sz val="11"/>
      <color indexed="8"/>
      <name val="Calibri"/>
      <family val="2"/>
    </font>
    <font>
      <b/>
      <sz val="12"/>
      <color indexed="8"/>
      <name val=".VnBook-Antiqua"/>
      <family val="2"/>
    </font>
    <font>
      <i/>
      <sz val="12"/>
      <color indexed="8"/>
      <name val=".VnBook-Antiqua"/>
      <family val="2"/>
    </font>
    <font>
      <sz val="10"/>
      <name val=".VnTime"/>
      <family val="2"/>
    </font>
    <font>
      <sz val="11"/>
      <color indexed="9"/>
      <name val="Calibri"/>
      <family val="2"/>
    </font>
    <font>
      <sz val="12"/>
      <name val="±¼¸²Ã¼"/>
      <family val="3"/>
      <charset val="129"/>
    </font>
    <font>
      <sz val="12"/>
      <name val="¹UAAA¼"/>
      <family val="3"/>
      <charset val="129"/>
    </font>
    <font>
      <sz val="8"/>
      <name val="Times New Roman"/>
      <family val="1"/>
      <charset val="163"/>
    </font>
    <font>
      <sz val="11"/>
      <color indexed="20"/>
      <name val="Calibri"/>
      <family val="2"/>
    </font>
    <font>
      <sz val="12"/>
      <name val="Tms Rmn"/>
    </font>
    <font>
      <sz val="11"/>
      <name val="µ¸¿ò"/>
      <charset val="129"/>
    </font>
    <font>
      <sz val="12"/>
      <name val="µ¸¿òÃ¼"/>
      <family val="3"/>
      <charset val="129"/>
    </font>
    <font>
      <sz val="12"/>
      <name val="System"/>
      <family val="1"/>
      <charset val="129"/>
    </font>
    <font>
      <sz val="10"/>
      <name val="MS Sans Serif"/>
      <family val="2"/>
    </font>
    <font>
      <b/>
      <sz val="11"/>
      <color indexed="52"/>
      <name val="Calibri"/>
      <family val="2"/>
    </font>
    <font>
      <b/>
      <sz val="10"/>
      <name val="Helv"/>
    </font>
    <font>
      <b/>
      <sz val="11"/>
      <color indexed="9"/>
      <name val="Calibri"/>
      <family val="2"/>
    </font>
    <font>
      <sz val="11"/>
      <name val="Tms Rmn"/>
    </font>
    <font>
      <sz val="10"/>
      <name val="MS Serif"/>
      <family val="1"/>
    </font>
    <font>
      <sz val="10"/>
      <color indexed="16"/>
      <name val="MS Serif"/>
      <family val="1"/>
    </font>
    <font>
      <i/>
      <sz val="11"/>
      <color indexed="23"/>
      <name val="Calibri"/>
      <family val="2"/>
    </font>
    <font>
      <sz val="11"/>
      <color indexed="17"/>
      <name val="Calibri"/>
      <family val="2"/>
    </font>
    <font>
      <sz val="8"/>
      <name val="Arial"/>
      <family val="2"/>
    </font>
    <font>
      <b/>
      <sz val="12"/>
      <color indexed="9"/>
      <name val="Tms Rmn"/>
    </font>
    <font>
      <b/>
      <sz val="12"/>
      <name val="Helv"/>
    </font>
    <font>
      <b/>
      <sz val="12"/>
      <name val="Arial"/>
      <family val="2"/>
    </font>
    <font>
      <b/>
      <sz val="18"/>
      <name val="Arial"/>
      <family val="2"/>
    </font>
    <font>
      <b/>
      <sz val="11"/>
      <color indexed="56"/>
      <name val="Calibri"/>
      <family val="2"/>
    </font>
    <font>
      <b/>
      <sz val="1"/>
      <color indexed="8"/>
      <name val="Courier"/>
      <family val="3"/>
    </font>
    <font>
      <b/>
      <sz val="8"/>
      <name val="MS Sans Serif"/>
      <family val="2"/>
    </font>
    <font>
      <sz val="11"/>
      <color indexed="62"/>
      <name val="Calibri"/>
      <family val="2"/>
    </font>
    <font>
      <sz val="11"/>
      <color indexed="52"/>
      <name val="Calibri"/>
      <family val="2"/>
    </font>
    <font>
      <b/>
      <sz val="11"/>
      <name val="Helv"/>
    </font>
    <font>
      <sz val="14"/>
      <name val=".VnTime"/>
      <family val="2"/>
    </font>
    <font>
      <sz val="12"/>
      <name val="Arial"/>
      <family val="2"/>
    </font>
    <font>
      <sz val="11"/>
      <color indexed="60"/>
      <name val="Calibri"/>
      <family val="2"/>
    </font>
    <font>
      <sz val="13"/>
      <name val=".VnTime"/>
      <family val="2"/>
    </font>
    <font>
      <sz val="11"/>
      <name val="–¾’©"/>
      <family val="1"/>
      <charset val="128"/>
    </font>
    <font>
      <b/>
      <sz val="11"/>
      <color indexed="63"/>
      <name val="Calibri"/>
      <family val="2"/>
    </font>
    <font>
      <sz val="8"/>
      <name val="Wingdings"/>
      <charset val="2"/>
    </font>
    <font>
      <sz val="8"/>
      <name val="Helv"/>
    </font>
    <font>
      <sz val="8"/>
      <name val="MS Sans Serif"/>
      <family val="2"/>
    </font>
    <font>
      <sz val="10"/>
      <name val="Helv"/>
      <family val="2"/>
    </font>
    <font>
      <sz val="11"/>
      <color indexed="32"/>
      <name val="VNI-Times"/>
    </font>
    <font>
      <b/>
      <sz val="8"/>
      <color indexed="8"/>
      <name val="Helv"/>
    </font>
    <font>
      <b/>
      <sz val="18"/>
      <color indexed="56"/>
      <name val="Cambria"/>
      <family val="2"/>
    </font>
    <font>
      <sz val="14"/>
      <name val="VnTime"/>
      <family val="2"/>
    </font>
    <font>
      <b/>
      <sz val="12"/>
      <name val=".VnTime"/>
      <family val="2"/>
    </font>
    <font>
      <b/>
      <sz val="10"/>
      <name val=".VnTime"/>
      <family val="2"/>
    </font>
    <font>
      <sz val="9"/>
      <name val=".VnTime"/>
      <family val="2"/>
    </font>
    <font>
      <sz val="11"/>
      <color indexed="10"/>
      <name val="Calibri"/>
      <family val="2"/>
    </font>
    <font>
      <sz val="10"/>
      <name val=" "/>
      <family val="1"/>
      <charset val="136"/>
    </font>
    <font>
      <sz val="14"/>
      <name val="뼻뮝"/>
      <family val="3"/>
    </font>
    <font>
      <sz val="12"/>
      <name val="바탕체"/>
      <family val="3"/>
    </font>
    <font>
      <sz val="12"/>
      <name val="뼻뮝"/>
      <family val="3"/>
    </font>
    <font>
      <sz val="12"/>
      <name val="바탕체"/>
      <family val="1"/>
      <charset val="129"/>
    </font>
    <font>
      <sz val="10"/>
      <name val="굴림체"/>
      <family val="3"/>
    </font>
    <font>
      <sz val="9"/>
      <name val="Arial"/>
      <family val="2"/>
    </font>
    <font>
      <sz val="12"/>
      <name val="Courier"/>
      <family val="3"/>
    </font>
    <font>
      <b/>
      <i/>
      <sz val="13"/>
      <color theme="1"/>
      <name val="Times New Roman"/>
      <family val="1"/>
    </font>
    <font>
      <b/>
      <sz val="12"/>
      <color theme="1"/>
      <name val="TimesNewRomanPSMT"/>
    </font>
    <font>
      <i/>
      <sz val="11"/>
      <color theme="1"/>
      <name val="Times New Roman"/>
      <family val="1"/>
    </font>
    <font>
      <sz val="11"/>
      <color theme="1"/>
      <name val="Times New Roman"/>
      <family val="1"/>
    </font>
    <font>
      <b/>
      <sz val="11"/>
      <color theme="1"/>
      <name val="Times New Roman"/>
      <family val="1"/>
    </font>
    <font>
      <b/>
      <i/>
      <sz val="12"/>
      <color theme="1"/>
      <name val="Times New Roman"/>
      <family val="1"/>
    </font>
    <font>
      <b/>
      <i/>
      <sz val="11"/>
      <color theme="1"/>
      <name val="Times New Roman"/>
      <family val="1"/>
    </font>
    <font>
      <vertAlign val="superscript"/>
      <sz val="11"/>
      <color theme="1"/>
      <name val="Times New Roman"/>
      <family val="1"/>
    </font>
    <font>
      <sz val="12"/>
      <color rgb="FF0070C0"/>
      <name val="Times New Roman"/>
      <family val="1"/>
    </font>
    <font>
      <sz val="10"/>
      <color theme="1"/>
      <name val="Times New Roman"/>
      <family val="1"/>
    </font>
  </fonts>
  <fills count="3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Vertical"/>
    </fill>
    <fill>
      <patternFill patternType="gray125">
        <fgColor indexed="35"/>
      </patternFill>
    </fill>
  </fills>
  <borders count="2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diagonal/>
    </border>
    <border>
      <left style="thin">
        <color auto="1"/>
      </left>
      <right/>
      <top/>
      <bottom/>
      <diagonal/>
    </border>
    <border>
      <left/>
      <right/>
      <top style="thin">
        <color auto="1"/>
      </top>
      <bottom style="thin">
        <color auto="1"/>
      </bottom>
      <diagonal/>
    </border>
    <border>
      <left style="thin">
        <color indexed="64"/>
      </left>
      <right style="thin">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thin">
        <color indexed="64"/>
      </left>
      <right/>
      <top style="thin">
        <color indexed="64"/>
      </top>
      <bottom style="thin">
        <color auto="1"/>
      </bottom>
      <diagonal/>
    </border>
  </borders>
  <cellStyleXfs count="230">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1" fillId="0" borderId="0" applyFont="0" applyFill="0" applyBorder="0" applyAlignment="0" applyProtection="0"/>
    <xf numFmtId="0" fontId="17" fillId="0" borderId="0"/>
    <xf numFmtId="9" fontId="11" fillId="0" borderId="0" applyFont="0" applyFill="0" applyBorder="0" applyAlignment="0" applyProtection="0"/>
    <xf numFmtId="0" fontId="11" fillId="0" borderId="0"/>
    <xf numFmtId="0" fontId="11" fillId="0" borderId="0"/>
    <xf numFmtId="164" fontId="1" fillId="0" borderId="0" applyFont="0" applyFill="0" applyBorder="0" applyAlignment="0" applyProtection="0"/>
    <xf numFmtId="0" fontId="27" fillId="0" borderId="0"/>
    <xf numFmtId="0" fontId="29" fillId="0" borderId="0"/>
    <xf numFmtId="0" fontId="22" fillId="0" borderId="0"/>
    <xf numFmtId="0" fontId="22" fillId="0" borderId="0"/>
    <xf numFmtId="0" fontId="35" fillId="0" borderId="0"/>
    <xf numFmtId="164" fontId="22" fillId="0" borderId="0" applyFont="0" applyFill="0" applyBorder="0" applyAlignment="0" applyProtection="0"/>
    <xf numFmtId="0" fontId="17" fillId="0" borderId="0" applyNumberFormat="0" applyFill="0" applyBorder="0" applyAlignment="0" applyProtection="0"/>
    <xf numFmtId="178" fontId="36" fillId="0" borderId="0" applyFont="0" applyFill="0" applyBorder="0" applyAlignment="0" applyProtection="0"/>
    <xf numFmtId="0" fontId="37" fillId="0" borderId="0" applyFont="0" applyFill="0" applyBorder="0" applyAlignment="0" applyProtection="0"/>
    <xf numFmtId="179" fontId="36" fillId="0" borderId="0" applyFont="0" applyFill="0" applyBorder="0" applyAlignment="0" applyProtection="0"/>
    <xf numFmtId="40" fontId="37" fillId="0" borderId="0" applyFont="0" applyFill="0" applyBorder="0" applyAlignment="0" applyProtection="0"/>
    <xf numFmtId="38" fontId="37" fillId="0" borderId="0" applyFont="0" applyFill="0" applyBorder="0" applyAlignment="0" applyProtection="0"/>
    <xf numFmtId="165" fontId="38" fillId="0" borderId="0" applyFont="0" applyFill="0" applyBorder="0" applyAlignment="0" applyProtection="0"/>
    <xf numFmtId="180" fontId="38" fillId="0" borderId="0" applyFont="0" applyFill="0" applyBorder="0" applyAlignment="0" applyProtection="0"/>
    <xf numFmtId="0" fontId="39" fillId="0" borderId="0"/>
    <xf numFmtId="0" fontId="22" fillId="0" borderId="0"/>
    <xf numFmtId="0" fontId="22" fillId="0" borderId="0"/>
    <xf numFmtId="1" fontId="40" fillId="0" borderId="1" applyBorder="0" applyAlignment="0">
      <alignment horizontal="center"/>
    </xf>
    <xf numFmtId="0" fontId="41" fillId="4" borderId="0"/>
    <xf numFmtId="9" fontId="42" fillId="0" borderId="0" applyFont="0" applyFill="0" applyBorder="0" applyAlignment="0" applyProtection="0"/>
    <xf numFmtId="0" fontId="43" fillId="4" borderId="0"/>
    <xf numFmtId="0" fontId="44" fillId="5" borderId="0" applyNumberFormat="0" applyBorder="0" applyAlignment="0" applyProtection="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5" fillId="4" borderId="0"/>
    <xf numFmtId="0" fontId="46" fillId="0" borderId="0">
      <alignment wrapText="1"/>
    </xf>
    <xf numFmtId="0" fontId="44" fillId="11" borderId="0" applyNumberFormat="0" applyBorder="0" applyAlignment="0" applyProtection="0"/>
    <xf numFmtId="0" fontId="44" fillId="12" borderId="0" applyNumberFormat="0" applyBorder="0" applyAlignment="0" applyProtection="0"/>
    <xf numFmtId="0" fontId="44" fillId="13" borderId="0" applyNumberFormat="0" applyBorder="0" applyAlignment="0" applyProtection="0"/>
    <xf numFmtId="0" fontId="44" fillId="8" borderId="0" applyNumberFormat="0" applyBorder="0" applyAlignment="0" applyProtection="0"/>
    <xf numFmtId="0" fontId="44" fillId="11" borderId="0" applyNumberFormat="0" applyBorder="0" applyAlignment="0" applyProtection="0"/>
    <xf numFmtId="0" fontId="44" fillId="14" borderId="0" applyNumberFormat="0" applyBorder="0" applyAlignment="0" applyProtection="0"/>
    <xf numFmtId="0" fontId="47" fillId="0" borderId="0"/>
    <xf numFmtId="0" fontId="48" fillId="15"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16" borderId="0" applyNumberFormat="0" applyBorder="0" applyAlignment="0" applyProtection="0"/>
    <xf numFmtId="0" fontId="48"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16" borderId="0" applyNumberFormat="0" applyBorder="0" applyAlignment="0" applyProtection="0"/>
    <xf numFmtId="0" fontId="48" fillId="17" borderId="0" applyNumberFormat="0" applyBorder="0" applyAlignment="0" applyProtection="0"/>
    <xf numFmtId="0" fontId="48" fillId="22" borderId="0" applyNumberFormat="0" applyBorder="0" applyAlignment="0" applyProtection="0"/>
    <xf numFmtId="181" fontId="49" fillId="0" borderId="0" applyFont="0" applyFill="0" applyBorder="0" applyAlignment="0" applyProtection="0"/>
    <xf numFmtId="0" fontId="50" fillId="0" borderId="0" applyFont="0" applyFill="0" applyBorder="0" applyAlignment="0" applyProtection="0"/>
    <xf numFmtId="182" fontId="17" fillId="0" borderId="0" applyFont="0" applyFill="0" applyBorder="0" applyAlignment="0" applyProtection="0"/>
    <xf numFmtId="183" fontId="49" fillId="0" borderId="0" applyFont="0" applyFill="0" applyBorder="0" applyAlignment="0" applyProtection="0"/>
    <xf numFmtId="0" fontId="50" fillId="0" borderId="0" applyFont="0" applyFill="0" applyBorder="0" applyAlignment="0" applyProtection="0"/>
    <xf numFmtId="184" fontId="17" fillId="0" borderId="0" applyFont="0" applyFill="0" applyBorder="0" applyAlignment="0" applyProtection="0"/>
    <xf numFmtId="0" fontId="51" fillId="0" borderId="0">
      <alignment horizontal="center" wrapText="1"/>
      <protection locked="0"/>
    </xf>
    <xf numFmtId="185" fontId="49" fillId="0" borderId="0" applyFont="0" applyFill="0" applyBorder="0" applyAlignment="0" applyProtection="0"/>
    <xf numFmtId="0" fontId="50" fillId="0" borderId="0" applyFont="0" applyFill="0" applyBorder="0" applyAlignment="0" applyProtection="0"/>
    <xf numFmtId="185" fontId="42" fillId="0" borderId="0" applyFont="0" applyFill="0" applyBorder="0" applyAlignment="0" applyProtection="0"/>
    <xf numFmtId="186" fontId="49" fillId="0" borderId="0" applyFont="0" applyFill="0" applyBorder="0" applyAlignment="0" applyProtection="0"/>
    <xf numFmtId="0" fontId="50" fillId="0" borderId="0" applyFont="0" applyFill="0" applyBorder="0" applyAlignment="0" applyProtection="0"/>
    <xf numFmtId="186" fontId="42" fillId="0" borderId="0" applyFont="0" applyFill="0" applyBorder="0" applyAlignment="0" applyProtection="0"/>
    <xf numFmtId="0" fontId="52" fillId="6" borderId="0" applyNumberFormat="0" applyBorder="0" applyAlignment="0" applyProtection="0"/>
    <xf numFmtId="0" fontId="53" fillId="0" borderId="0" applyNumberFormat="0" applyFill="0" applyBorder="0" applyAlignment="0" applyProtection="0"/>
    <xf numFmtId="0" fontId="50" fillId="0" borderId="0"/>
    <xf numFmtId="0" fontId="54" fillId="0" borderId="0"/>
    <xf numFmtId="0" fontId="50" fillId="0" borderId="0"/>
    <xf numFmtId="0" fontId="55" fillId="0" borderId="0"/>
    <xf numFmtId="0" fontId="56" fillId="0" borderId="0"/>
    <xf numFmtId="187" fontId="57" fillId="0" borderId="0" applyFill="0" applyBorder="0" applyAlignment="0"/>
    <xf numFmtId="0" fontId="58" fillId="23" borderId="13" applyNumberFormat="0" applyAlignment="0" applyProtection="0"/>
    <xf numFmtId="0" fontId="59" fillId="0" borderId="0"/>
    <xf numFmtId="0" fontId="60" fillId="24" borderId="14" applyNumberFormat="0" applyAlignment="0" applyProtection="0"/>
    <xf numFmtId="188" fontId="61" fillId="0" borderId="0"/>
    <xf numFmtId="188" fontId="61" fillId="0" borderId="0"/>
    <xf numFmtId="188" fontId="61" fillId="0" borderId="0"/>
    <xf numFmtId="188" fontId="61" fillId="0" borderId="0"/>
    <xf numFmtId="188" fontId="61" fillId="0" borderId="0"/>
    <xf numFmtId="188" fontId="61" fillId="0" borderId="0"/>
    <xf numFmtId="188" fontId="61" fillId="0" borderId="0"/>
    <xf numFmtId="188" fontId="61" fillId="0" borderId="0"/>
    <xf numFmtId="3" fontId="22" fillId="0" borderId="0" applyFont="0" applyFill="0" applyBorder="0" applyAlignment="0" applyProtection="0"/>
    <xf numFmtId="0" fontId="62" fillId="0" borderId="0" applyNumberFormat="0" applyAlignment="0">
      <alignment horizontal="left"/>
    </xf>
    <xf numFmtId="189" fontId="22" fillId="0" borderId="0" applyFont="0" applyFill="0" applyBorder="0" applyAlignment="0" applyProtection="0"/>
    <xf numFmtId="190" fontId="17" fillId="0" borderId="15"/>
    <xf numFmtId="0" fontId="22" fillId="0" borderId="0" applyFont="0" applyFill="0" applyBorder="0" applyAlignment="0" applyProtection="0"/>
    <xf numFmtId="191" fontId="57" fillId="0" borderId="0" applyFont="0" applyFill="0" applyBorder="0" applyAlignment="0" applyProtection="0"/>
    <xf numFmtId="192" fontId="57" fillId="0" borderId="0" applyFont="0" applyFill="0" applyBorder="0" applyAlignment="0" applyProtection="0"/>
    <xf numFmtId="3" fontId="17" fillId="0" borderId="0" applyFont="0" applyBorder="0" applyAlignment="0"/>
    <xf numFmtId="0" fontId="63" fillId="0" borderId="0" applyNumberFormat="0" applyAlignment="0">
      <alignment horizontal="left"/>
    </xf>
    <xf numFmtId="0" fontId="64" fillId="0" borderId="0" applyNumberFormat="0" applyFill="0" applyBorder="0" applyAlignment="0" applyProtection="0"/>
    <xf numFmtId="3" fontId="17" fillId="0" borderId="0" applyFont="0" applyBorder="0" applyAlignment="0"/>
    <xf numFmtId="2" fontId="22" fillId="0" borderId="0" applyFont="0" applyFill="0" applyBorder="0" applyAlignment="0" applyProtection="0"/>
    <xf numFmtId="0" fontId="65" fillId="7" borderId="0" applyNumberFormat="0" applyBorder="0" applyAlignment="0" applyProtection="0"/>
    <xf numFmtId="38" fontId="66" fillId="4" borderId="0" applyNumberFormat="0" applyBorder="0" applyAlignment="0" applyProtection="0"/>
    <xf numFmtId="0" fontId="67" fillId="25" borderId="0"/>
    <xf numFmtId="0" fontId="68" fillId="0" borderId="0">
      <alignment horizontal="left"/>
    </xf>
    <xf numFmtId="0" fontId="69" fillId="0" borderId="16" applyNumberFormat="0" applyAlignment="0" applyProtection="0">
      <alignment horizontal="left" vertical="center"/>
    </xf>
    <xf numFmtId="0" fontId="69" fillId="0" borderId="17">
      <alignment horizontal="left" vertical="center"/>
    </xf>
    <xf numFmtId="0" fontId="70" fillId="0" borderId="0" applyNumberFormat="0" applyFill="0" applyBorder="0" applyAlignment="0" applyProtection="0"/>
    <xf numFmtId="0" fontId="69" fillId="0" borderId="0" applyNumberFormat="0" applyFill="0" applyBorder="0" applyAlignment="0" applyProtection="0"/>
    <xf numFmtId="0" fontId="71" fillId="0" borderId="18" applyNumberFormat="0" applyFill="0" applyAlignment="0" applyProtection="0"/>
    <xf numFmtId="0" fontId="71" fillId="0" borderId="0" applyNumberFormat="0" applyFill="0" applyBorder="0" applyAlignment="0" applyProtection="0"/>
    <xf numFmtId="193" fontId="72" fillId="0" borderId="0">
      <protection locked="0"/>
    </xf>
    <xf numFmtId="193" fontId="72" fillId="0" borderId="0">
      <protection locked="0"/>
    </xf>
    <xf numFmtId="0" fontId="73" fillId="0" borderId="19">
      <alignment horizontal="center"/>
    </xf>
    <xf numFmtId="0" fontId="73" fillId="0" borderId="0">
      <alignment horizontal="center"/>
    </xf>
    <xf numFmtId="10" fontId="66" fillId="26" borderId="20" applyNumberFormat="0" applyBorder="0" applyAlignment="0" applyProtection="0"/>
    <xf numFmtId="0" fontId="74" fillId="10" borderId="13" applyNumberFormat="0" applyAlignment="0" applyProtection="0"/>
    <xf numFmtId="0" fontId="75" fillId="0" borderId="21" applyNumberFormat="0" applyFill="0" applyAlignment="0" applyProtection="0"/>
    <xf numFmtId="38" fontId="57" fillId="0" borderId="0" applyFont="0" applyFill="0" applyBorder="0" applyAlignment="0" applyProtection="0"/>
    <xf numFmtId="40" fontId="57" fillId="0" borderId="0" applyFont="0" applyFill="0" applyBorder="0" applyAlignment="0" applyProtection="0"/>
    <xf numFmtId="0" fontId="76" fillId="0" borderId="19"/>
    <xf numFmtId="194" fontId="77" fillId="0" borderId="22"/>
    <xf numFmtId="195" fontId="57" fillId="0" borderId="0" applyFont="0" applyFill="0" applyBorder="0" applyAlignment="0" applyProtection="0"/>
    <xf numFmtId="196" fontId="57" fillId="0" borderId="0" applyFont="0" applyFill="0" applyBorder="0" applyAlignment="0" applyProtection="0"/>
    <xf numFmtId="0" fontId="78" fillId="0" borderId="0" applyNumberFormat="0" applyFont="0" applyFill="0" applyAlignment="0"/>
    <xf numFmtId="0" fontId="79" fillId="27" borderId="0" applyNumberFormat="0" applyBorder="0" applyAlignment="0" applyProtection="0"/>
    <xf numFmtId="197" fontId="80" fillId="0" borderId="0"/>
    <xf numFmtId="0" fontId="22" fillId="28" borderId="23" applyNumberFormat="0" applyFont="0" applyAlignment="0" applyProtection="0"/>
    <xf numFmtId="180" fontId="81" fillId="0" borderId="0" applyFont="0" applyFill="0" applyBorder="0" applyAlignment="0" applyProtection="0"/>
    <xf numFmtId="165" fontId="81" fillId="0" borderId="0" applyFont="0" applyFill="0" applyBorder="0" applyAlignment="0" applyProtection="0"/>
    <xf numFmtId="0" fontId="80" fillId="0" borderId="0" applyNumberFormat="0" applyFill="0" applyBorder="0" applyAlignment="0" applyProtection="0"/>
    <xf numFmtId="0" fontId="17" fillId="0" borderId="0" applyNumberFormat="0" applyFill="0" applyBorder="0" applyAlignment="0" applyProtection="0"/>
    <xf numFmtId="0" fontId="22" fillId="0" borderId="0" applyFont="0" applyFill="0" applyBorder="0" applyAlignment="0" applyProtection="0"/>
    <xf numFmtId="0" fontId="31" fillId="0" borderId="0"/>
    <xf numFmtId="0" fontId="82" fillId="23" borderId="24" applyNumberFormat="0" applyAlignment="0" applyProtection="0"/>
    <xf numFmtId="14" fontId="51" fillId="0" borderId="0">
      <alignment horizontal="center" wrapText="1"/>
      <protection locked="0"/>
    </xf>
    <xf numFmtId="10" fontId="22" fillId="0" borderId="0" applyFont="0" applyFill="0" applyBorder="0" applyAlignment="0" applyProtection="0"/>
    <xf numFmtId="0" fontId="83" fillId="29" borderId="0" applyNumberFormat="0" applyFont="0" applyBorder="0" applyAlignment="0">
      <alignment horizontal="center"/>
    </xf>
    <xf numFmtId="14" fontId="84" fillId="0" borderId="0" applyNumberFormat="0" applyFill="0" applyBorder="0" applyAlignment="0" applyProtection="0">
      <alignment horizontal="left"/>
    </xf>
    <xf numFmtId="0" fontId="17" fillId="0" borderId="0" applyNumberFormat="0" applyFill="0" applyBorder="0" applyAlignment="0" applyProtection="0"/>
    <xf numFmtId="0" fontId="83" fillId="1" borderId="11" applyNumberFormat="0" applyFont="0" applyAlignment="0">
      <alignment horizontal="center"/>
    </xf>
    <xf numFmtId="0" fontId="85" fillId="0" borderId="0" applyNumberFormat="0" applyFill="0" applyBorder="0" applyAlignment="0">
      <alignment horizontal="center"/>
    </xf>
    <xf numFmtId="0" fontId="22" fillId="0" borderId="0"/>
    <xf numFmtId="0" fontId="86" fillId="0" borderId="0"/>
    <xf numFmtId="0" fontId="87" fillId="0" borderId="0"/>
    <xf numFmtId="0" fontId="76" fillId="0" borderId="0"/>
    <xf numFmtId="40" fontId="88" fillId="0" borderId="0" applyBorder="0">
      <alignment horizontal="right"/>
    </xf>
    <xf numFmtId="198" fontId="80" fillId="0" borderId="6">
      <alignment horizontal="right" vertical="center"/>
    </xf>
    <xf numFmtId="199" fontId="77" fillId="0" borderId="6">
      <alignment horizontal="right" vertical="center"/>
    </xf>
    <xf numFmtId="200" fontId="17" fillId="0" borderId="6">
      <alignment horizontal="right" vertical="center"/>
    </xf>
    <xf numFmtId="201" fontId="36" fillId="0" borderId="6">
      <alignment horizontal="right" vertical="center"/>
    </xf>
    <xf numFmtId="199" fontId="77" fillId="0" borderId="6">
      <alignment horizontal="right" vertical="center"/>
    </xf>
    <xf numFmtId="198" fontId="80" fillId="0" borderId="6">
      <alignment horizontal="right" vertical="center"/>
    </xf>
    <xf numFmtId="202" fontId="80" fillId="0" borderId="6">
      <alignment horizontal="center"/>
    </xf>
    <xf numFmtId="0" fontId="80" fillId="0" borderId="0" applyNumberFormat="0" applyFill="0" applyBorder="0" applyAlignment="0" applyProtection="0"/>
    <xf numFmtId="0" fontId="22" fillId="0" borderId="0" applyNumberFormat="0" applyFill="0" applyBorder="0" applyAlignment="0" applyProtection="0"/>
    <xf numFmtId="0" fontId="89" fillId="0" borderId="0" applyNumberFormat="0" applyFill="0" applyBorder="0" applyAlignment="0" applyProtection="0"/>
    <xf numFmtId="0" fontId="22" fillId="0" borderId="25" applyNumberFormat="0" applyFont="0" applyFill="0" applyAlignment="0" applyProtection="0"/>
    <xf numFmtId="203" fontId="80" fillId="0" borderId="0"/>
    <xf numFmtId="204" fontId="80" fillId="0" borderId="20"/>
    <xf numFmtId="3" fontId="80" fillId="0" borderId="0" applyNumberFormat="0" applyBorder="0" applyAlignment="0" applyProtection="0">
      <alignment horizontal="centerContinuous"/>
      <protection locked="0"/>
    </xf>
    <xf numFmtId="3" fontId="90" fillId="0" borderId="0">
      <protection locked="0"/>
    </xf>
    <xf numFmtId="0" fontId="91" fillId="30" borderId="20">
      <alignment horizontal="left" vertical="center"/>
    </xf>
    <xf numFmtId="205" fontId="92" fillId="0" borderId="3">
      <alignment horizontal="left" vertical="top"/>
    </xf>
    <xf numFmtId="205" fontId="47" fillId="0" borderId="4">
      <alignment horizontal="left" vertical="top"/>
    </xf>
    <xf numFmtId="0" fontId="93" fillId="0" borderId="4">
      <alignment horizontal="left" vertical="center"/>
    </xf>
    <xf numFmtId="206" fontId="22" fillId="0" borderId="0" applyFont="0" applyFill="0" applyBorder="0" applyAlignment="0" applyProtection="0"/>
    <xf numFmtId="207" fontId="22" fillId="0" borderId="0" applyFont="0" applyFill="0" applyBorder="0" applyAlignment="0" applyProtection="0"/>
    <xf numFmtId="0" fontId="94" fillId="0" borderId="0" applyNumberFormat="0" applyFill="0" applyBorder="0" applyAlignment="0" applyProtection="0"/>
    <xf numFmtId="0" fontId="95" fillId="0" borderId="0" applyFont="0" applyFill="0" applyBorder="0" applyAlignment="0" applyProtection="0"/>
    <xf numFmtId="0" fontId="95" fillId="0" borderId="0" applyFont="0" applyFill="0" applyBorder="0" applyAlignment="0" applyProtection="0"/>
    <xf numFmtId="0" fontId="6" fillId="0" borderId="0">
      <alignment vertical="center"/>
    </xf>
    <xf numFmtId="40" fontId="96" fillId="0" borderId="0" applyFont="0" applyFill="0" applyBorder="0" applyAlignment="0" applyProtection="0"/>
    <xf numFmtId="38" fontId="96" fillId="0" borderId="0" applyFont="0" applyFill="0" applyBorder="0" applyAlignment="0" applyProtection="0"/>
    <xf numFmtId="0" fontId="96" fillId="0" borderId="0" applyFont="0" applyFill="0" applyBorder="0" applyAlignment="0" applyProtection="0"/>
    <xf numFmtId="0" fontId="96" fillId="0" borderId="0" applyFont="0" applyFill="0" applyBorder="0" applyAlignment="0" applyProtection="0"/>
    <xf numFmtId="9" fontId="97" fillId="0" borderId="0" applyFont="0" applyFill="0" applyBorder="0" applyAlignment="0" applyProtection="0"/>
    <xf numFmtId="0" fontId="98" fillId="0" borderId="0"/>
    <xf numFmtId="0" fontId="99" fillId="0" borderId="0" applyFont="0" applyFill="0" applyBorder="0" applyAlignment="0" applyProtection="0"/>
    <xf numFmtId="0" fontId="99" fillId="0" borderId="0" applyFont="0" applyFill="0" applyBorder="0" applyAlignment="0" applyProtection="0"/>
    <xf numFmtId="208" fontId="17" fillId="0" borderId="0" applyFont="0" applyFill="0" applyBorder="0" applyAlignment="0" applyProtection="0"/>
    <xf numFmtId="209" fontId="17" fillId="0" borderId="0" applyFont="0" applyFill="0" applyBorder="0" applyAlignment="0" applyProtection="0"/>
    <xf numFmtId="0" fontId="100" fillId="0" borderId="0"/>
    <xf numFmtId="0" fontId="78" fillId="0" borderId="0"/>
    <xf numFmtId="165" fontId="101" fillId="0" borderId="0" applyFont="0" applyFill="0" applyBorder="0" applyAlignment="0" applyProtection="0"/>
    <xf numFmtId="166" fontId="101" fillId="0" borderId="0" applyFont="0" applyFill="0" applyBorder="0" applyAlignment="0" applyProtection="0"/>
    <xf numFmtId="179" fontId="101" fillId="0" borderId="0" applyFont="0" applyFill="0" applyBorder="0" applyAlignment="0" applyProtection="0"/>
    <xf numFmtId="210" fontId="102" fillId="0" borderId="0" applyFont="0" applyFill="0" applyBorder="0" applyAlignment="0" applyProtection="0"/>
    <xf numFmtId="178" fontId="101" fillId="0" borderId="0" applyFont="0" applyFill="0" applyBorder="0" applyAlignment="0" applyProtection="0"/>
    <xf numFmtId="0" fontId="22" fillId="0" borderId="0" applyNumberFormat="0" applyFill="0" applyBorder="0" applyAlignment="0" applyProtection="0"/>
  </cellStyleXfs>
  <cellXfs count="408">
    <xf numFmtId="0" fontId="0" fillId="0" borderId="0" xfId="0"/>
    <xf numFmtId="3" fontId="2" fillId="2" borderId="1" xfId="0" applyNumberFormat="1" applyFont="1" applyFill="1" applyBorder="1" applyAlignment="1">
      <alignment horizontal="center" vertical="center" wrapText="1"/>
    </xf>
    <xf numFmtId="3" fontId="2" fillId="2" borderId="1" xfId="0" applyNumberFormat="1" applyFont="1" applyFill="1" applyBorder="1" applyAlignment="1">
      <alignment vertical="center" wrapText="1"/>
    </xf>
    <xf numFmtId="167" fontId="5" fillId="2" borderId="0" xfId="0" applyNumberFormat="1" applyFont="1" applyFill="1"/>
    <xf numFmtId="0" fontId="5" fillId="2" borderId="0" xfId="0" applyFont="1" applyFill="1"/>
    <xf numFmtId="0" fontId="4" fillId="2" borderId="0" xfId="0" applyFont="1" applyFill="1"/>
    <xf numFmtId="3" fontId="2" fillId="2" borderId="1" xfId="0" quotePrefix="1" applyNumberFormat="1" applyFont="1" applyFill="1" applyBorder="1" applyAlignment="1">
      <alignment horizontal="center" vertical="center" wrapText="1"/>
    </xf>
    <xf numFmtId="167" fontId="6" fillId="0" borderId="1" xfId="43" applyNumberFormat="1" applyFont="1" applyFill="1" applyBorder="1" applyAlignment="1">
      <alignment horizontal="center" vertical="center" wrapText="1"/>
    </xf>
    <xf numFmtId="164" fontId="6" fillId="0" borderId="1" xfId="43" applyFont="1" applyFill="1" applyBorder="1" applyAlignment="1">
      <alignment horizontal="center" vertical="center" wrapText="1"/>
    </xf>
    <xf numFmtId="164" fontId="6" fillId="0" borderId="1" xfId="43" applyFont="1" applyFill="1" applyBorder="1" applyAlignment="1">
      <alignment horizontal="left" vertical="center" wrapText="1"/>
    </xf>
    <xf numFmtId="167" fontId="6" fillId="0" borderId="1" xfId="43" quotePrefix="1" applyNumberFormat="1" applyFont="1" applyFill="1" applyBorder="1" applyAlignment="1">
      <alignment horizontal="center" vertical="center" wrapText="1"/>
    </xf>
    <xf numFmtId="164" fontId="13" fillId="0" borderId="1" xfId="43" applyFont="1" applyFill="1" applyBorder="1" applyAlignment="1">
      <alignment horizontal="left" vertical="center" wrapText="1"/>
    </xf>
    <xf numFmtId="0" fontId="9" fillId="2" borderId="0" xfId="0" applyFont="1" applyFill="1"/>
    <xf numFmtId="9" fontId="6" fillId="0" borderId="1" xfId="45" applyFont="1" applyFill="1" applyBorder="1" applyAlignment="1">
      <alignment horizontal="center" vertical="center" wrapText="1"/>
    </xf>
    <xf numFmtId="9" fontId="6" fillId="0" borderId="1" xfId="45" quotePrefix="1" applyFont="1" applyFill="1" applyBorder="1" applyAlignment="1">
      <alignment horizontal="center" vertical="center" wrapText="1"/>
    </xf>
    <xf numFmtId="167"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right" vertical="center" wrapText="1"/>
    </xf>
    <xf numFmtId="0" fontId="10" fillId="2" borderId="0" xfId="0" applyFont="1" applyFill="1"/>
    <xf numFmtId="4" fontId="9" fillId="2" borderId="0" xfId="0" applyNumberFormat="1" applyFont="1" applyFill="1"/>
    <xf numFmtId="4" fontId="18" fillId="2" borderId="0" xfId="0" applyNumberFormat="1" applyFont="1" applyFill="1"/>
    <xf numFmtId="0" fontId="2" fillId="2" borderId="0" xfId="0" applyFont="1" applyFill="1"/>
    <xf numFmtId="4" fontId="3" fillId="2" borderId="1" xfId="0" applyNumberFormat="1" applyFont="1" applyFill="1" applyBorder="1" applyAlignment="1">
      <alignment horizontal="center" vertical="center" wrapText="1"/>
    </xf>
    <xf numFmtId="4" fontId="2" fillId="2" borderId="1" xfId="0" applyNumberFormat="1" applyFont="1" applyFill="1" applyBorder="1" applyAlignment="1">
      <alignment horizontal="left" vertical="center" wrapText="1"/>
    </xf>
    <xf numFmtId="4" fontId="3" fillId="2" borderId="1" xfId="0" applyNumberFormat="1" applyFont="1" applyFill="1" applyBorder="1" applyAlignment="1">
      <alignment horizontal="left" vertical="center" wrapText="1"/>
    </xf>
    <xf numFmtId="0" fontId="2" fillId="0" borderId="0" xfId="0" applyFont="1"/>
    <xf numFmtId="4" fontId="3" fillId="2" borderId="1" xfId="0" applyNumberFormat="1" applyFont="1" applyFill="1" applyBorder="1" applyAlignment="1">
      <alignment horizontal="right" vertical="center" wrapText="1"/>
    </xf>
    <xf numFmtId="4" fontId="2" fillId="2" borderId="1" xfId="0" applyNumberFormat="1" applyFont="1" applyFill="1" applyBorder="1" applyAlignment="1">
      <alignment horizontal="right" vertical="center" wrapText="1"/>
    </xf>
    <xf numFmtId="0" fontId="25" fillId="0" borderId="0" xfId="0" applyFont="1"/>
    <xf numFmtId="0" fontId="4" fillId="2" borderId="1" xfId="0" applyFont="1" applyFill="1" applyBorder="1" applyAlignment="1">
      <alignment horizontal="center" vertical="center"/>
    </xf>
    <xf numFmtId="3" fontId="3" fillId="2" borderId="1" xfId="0" quotePrefix="1" applyNumberFormat="1" applyFont="1" applyFill="1" applyBorder="1" applyAlignment="1">
      <alignment horizontal="center" vertical="center" wrapText="1"/>
    </xf>
    <xf numFmtId="3" fontId="6" fillId="2" borderId="1" xfId="46" applyNumberFormat="1" applyFont="1" applyFill="1" applyBorder="1" applyAlignment="1">
      <alignment horizontal="justify" vertical="center" wrapText="1"/>
    </xf>
    <xf numFmtId="3" fontId="3" fillId="2" borderId="1" xfId="0" applyNumberFormat="1" applyFont="1" applyFill="1" applyBorder="1" applyAlignment="1">
      <alignment vertical="center" wrapText="1"/>
    </xf>
    <xf numFmtId="3" fontId="3" fillId="2" borderId="1" xfId="0" applyNumberFormat="1" applyFont="1" applyFill="1" applyBorder="1" applyAlignment="1">
      <alignment horizontal="center" vertical="center" wrapText="1"/>
    </xf>
    <xf numFmtId="173" fontId="3" fillId="2" borderId="1" xfId="0" applyNumberFormat="1" applyFont="1" applyFill="1" applyBorder="1" applyAlignment="1">
      <alignment horizontal="right" vertical="center" wrapText="1"/>
    </xf>
    <xf numFmtId="3" fontId="13" fillId="2" borderId="1" xfId="0" applyNumberFormat="1" applyFont="1" applyFill="1" applyBorder="1" applyAlignment="1">
      <alignment vertical="center" wrapText="1"/>
    </xf>
    <xf numFmtId="3" fontId="28" fillId="2" borderId="1" xfId="47" applyNumberFormat="1" applyFont="1" applyFill="1" applyBorder="1" applyAlignment="1">
      <alignment vertical="center" wrapText="1"/>
    </xf>
    <xf numFmtId="3" fontId="6" fillId="0" borderId="1" xfId="0"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167" fontId="13" fillId="0" borderId="1" xfId="43" applyNumberFormat="1" applyFont="1" applyFill="1" applyBorder="1" applyAlignment="1">
      <alignment horizontal="center" vertical="center" wrapText="1"/>
    </xf>
    <xf numFmtId="164" fontId="13" fillId="0" borderId="1" xfId="43" applyFont="1" applyFill="1" applyBorder="1" applyAlignment="1">
      <alignment horizontal="center" vertical="center" wrapText="1"/>
    </xf>
    <xf numFmtId="0" fontId="6" fillId="0" borderId="0" xfId="0" applyFont="1"/>
    <xf numFmtId="164" fontId="6" fillId="0" borderId="0" xfId="43" applyFont="1" applyFill="1"/>
    <xf numFmtId="167" fontId="6" fillId="0" borderId="0" xfId="43" applyNumberFormat="1" applyFont="1" applyFill="1"/>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left" vertical="center" wrapText="1"/>
    </xf>
    <xf numFmtId="0" fontId="13" fillId="0" borderId="0" xfId="0" applyFont="1"/>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6" fillId="0" borderId="1" xfId="0" applyFont="1" applyBorder="1" applyAlignment="1">
      <alignment horizontal="center" vertical="center"/>
    </xf>
    <xf numFmtId="164" fontId="6" fillId="0" borderId="1" xfId="0" applyNumberFormat="1" applyFont="1" applyBorder="1" applyAlignment="1">
      <alignment horizontal="center" vertical="center" wrapText="1"/>
    </xf>
    <xf numFmtId="176" fontId="6" fillId="0" borderId="1" xfId="43"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vertical="center" wrapText="1"/>
    </xf>
    <xf numFmtId="177" fontId="6" fillId="0" borderId="1" xfId="43" applyNumberFormat="1" applyFont="1" applyFill="1" applyBorder="1" applyAlignment="1">
      <alignment horizontal="center" vertical="center" wrapText="1"/>
    </xf>
    <xf numFmtId="177" fontId="6" fillId="0" borderId="1" xfId="43" applyNumberFormat="1" applyFont="1" applyFill="1" applyBorder="1" applyAlignment="1">
      <alignment horizontal="left" vertical="center" wrapText="1"/>
    </xf>
    <xf numFmtId="168" fontId="6" fillId="0" borderId="1" xfId="43" applyNumberFormat="1" applyFont="1" applyFill="1" applyBorder="1" applyAlignment="1">
      <alignment horizontal="center" vertical="center" wrapText="1"/>
    </xf>
    <xf numFmtId="171" fontId="6" fillId="0" borderId="1" xfId="43" applyNumberFormat="1" applyFont="1" applyFill="1" applyBorder="1" applyAlignment="1">
      <alignment horizontal="center" vertical="center" wrapText="1"/>
    </xf>
    <xf numFmtId="167" fontId="14" fillId="0" borderId="1" xfId="43" applyNumberFormat="1" applyFont="1" applyFill="1" applyBorder="1" applyAlignment="1">
      <alignment horizontal="center" vertical="center" wrapText="1"/>
    </xf>
    <xf numFmtId="164" fontId="14" fillId="0" borderId="1" xfId="43" applyFont="1" applyFill="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26" fillId="0" borderId="1" xfId="0" applyFont="1" applyBorder="1" applyAlignment="1">
      <alignment vertical="center" wrapText="1"/>
    </xf>
    <xf numFmtId="0" fontId="16" fillId="0" borderId="1" xfId="0" quotePrefix="1" applyFont="1" applyBorder="1" applyAlignment="1">
      <alignment vertical="center" wrapText="1"/>
    </xf>
    <xf numFmtId="3" fontId="6" fillId="0" borderId="1" xfId="0" quotePrefix="1" applyNumberFormat="1" applyFont="1" applyBorder="1" applyAlignment="1">
      <alignment horizontal="center" vertical="center" wrapText="1"/>
    </xf>
    <xf numFmtId="9" fontId="6" fillId="0" borderId="1" xfId="0" applyNumberFormat="1" applyFont="1" applyBorder="1" applyAlignment="1">
      <alignment horizontal="center" vertical="center" wrapText="1"/>
    </xf>
    <xf numFmtId="0" fontId="6" fillId="0" borderId="1" xfId="0" quotePrefix="1" applyFont="1" applyBorder="1" applyAlignment="1">
      <alignment horizontal="center" vertical="center" wrapText="1"/>
    </xf>
    <xf numFmtId="1" fontId="6" fillId="0" borderId="1" xfId="0" applyNumberFormat="1" applyFont="1" applyBorder="1" applyAlignment="1">
      <alignment horizontal="center" vertical="center" wrapText="1"/>
    </xf>
    <xf numFmtId="0" fontId="16" fillId="0" borderId="1" xfId="0" quotePrefix="1" applyFont="1" applyBorder="1" applyAlignment="1">
      <alignment horizontal="center" vertical="center" wrapText="1"/>
    </xf>
    <xf numFmtId="0" fontId="26" fillId="0" borderId="1" xfId="0" quotePrefix="1" applyFont="1" applyBorder="1" applyAlignment="1">
      <alignment vertical="center" wrapText="1"/>
    </xf>
    <xf numFmtId="0" fontId="26" fillId="0" borderId="1" xfId="0" applyFont="1" applyBorder="1" applyAlignment="1" applyProtection="1">
      <alignment vertical="center" wrapText="1"/>
      <protection locked="0"/>
    </xf>
    <xf numFmtId="0" fontId="16" fillId="0" borderId="1" xfId="0" applyFont="1" applyBorder="1" applyAlignment="1" applyProtection="1">
      <alignment vertical="center" wrapText="1"/>
      <protection locked="0"/>
    </xf>
    <xf numFmtId="0" fontId="16" fillId="0" borderId="1" xfId="0" quotePrefix="1" applyFont="1" applyBorder="1" applyAlignment="1" applyProtection="1">
      <alignment horizontal="center" vertical="center" wrapText="1"/>
      <protection locked="0"/>
    </xf>
    <xf numFmtId="0" fontId="26" fillId="0" borderId="1" xfId="50" applyFont="1" applyBorder="1" applyAlignment="1">
      <alignment vertical="center" wrapText="1"/>
    </xf>
    <xf numFmtId="0" fontId="16" fillId="0" borderId="1" xfId="50" applyFont="1" applyBorder="1" applyAlignment="1">
      <alignment horizontal="center" vertical="center" wrapText="1"/>
    </xf>
    <xf numFmtId="0" fontId="16" fillId="0" borderId="1" xfId="50" applyFont="1" applyBorder="1" applyAlignment="1">
      <alignment vertical="center" wrapText="1"/>
    </xf>
    <xf numFmtId="0" fontId="16" fillId="0" borderId="1" xfId="51" applyFont="1" applyBorder="1" applyAlignment="1">
      <alignment vertical="center" wrapText="1"/>
    </xf>
    <xf numFmtId="0" fontId="16" fillId="0" borderId="1" xfId="51" applyFont="1" applyBorder="1" applyAlignment="1">
      <alignment horizontal="center" vertical="center" wrapText="1"/>
    </xf>
    <xf numFmtId="0" fontId="19" fillId="0" borderId="1" xfId="0" applyFont="1" applyBorder="1" applyAlignment="1">
      <alignment horizontal="center" vertical="center" wrapText="1"/>
    </xf>
    <xf numFmtId="0" fontId="16" fillId="0" borderId="1" xfId="0" applyFont="1" applyBorder="1" applyAlignment="1">
      <alignment wrapText="1"/>
    </xf>
    <xf numFmtId="9" fontId="6" fillId="0" borderId="1" xfId="0" quotePrefix="1" applyNumberFormat="1" applyFont="1" applyBorder="1" applyAlignment="1">
      <alignment horizontal="center" vertical="center" wrapText="1"/>
    </xf>
    <xf numFmtId="0" fontId="13" fillId="0" borderId="0" xfId="0" applyFont="1" applyAlignment="1">
      <alignment vertical="center" wrapText="1"/>
    </xf>
    <xf numFmtId="0" fontId="13" fillId="0" borderId="1" xfId="0" quotePrefix="1" applyFont="1" applyBorder="1" applyAlignment="1">
      <alignment horizontal="center" vertical="center" wrapText="1"/>
    </xf>
    <xf numFmtId="164" fontId="6" fillId="0" borderId="0" xfId="43" applyFont="1" applyFill="1" applyAlignment="1">
      <alignment vertical="center" wrapText="1"/>
    </xf>
    <xf numFmtId="0" fontId="6" fillId="0" borderId="0" xfId="0" applyFont="1" applyAlignment="1">
      <alignment horizontal="center" vertical="center"/>
    </xf>
    <xf numFmtId="169" fontId="6" fillId="0" borderId="0" xfId="0" applyNumberFormat="1" applyFont="1" applyAlignment="1">
      <alignment horizontal="center" vertical="center"/>
    </xf>
    <xf numFmtId="3" fontId="15" fillId="2" borderId="1" xfId="0" applyNumberFormat="1" applyFont="1" applyFill="1" applyBorder="1" applyAlignment="1">
      <alignment vertical="center" wrapText="1"/>
    </xf>
    <xf numFmtId="3" fontId="13" fillId="2" borderId="1" xfId="46" applyNumberFormat="1" applyFont="1" applyFill="1" applyBorder="1" applyAlignment="1">
      <alignment horizontal="justify" vertical="center" wrapText="1"/>
    </xf>
    <xf numFmtId="3" fontId="20" fillId="2" borderId="1" xfId="0" quotePrefix="1" applyNumberFormat="1" applyFont="1" applyFill="1" applyBorder="1" applyAlignment="1">
      <alignment horizontal="center" vertical="center" wrapText="1"/>
    </xf>
    <xf numFmtId="3" fontId="20" fillId="2" borderId="1" xfId="0" applyNumberFormat="1" applyFont="1" applyFill="1" applyBorder="1" applyAlignment="1">
      <alignment vertical="center" wrapText="1"/>
    </xf>
    <xf numFmtId="4" fontId="20" fillId="2" borderId="1" xfId="0" applyNumberFormat="1" applyFont="1" applyFill="1" applyBorder="1" applyAlignment="1">
      <alignment horizontal="right" vertical="center" wrapText="1"/>
    </xf>
    <xf numFmtId="0" fontId="25" fillId="2" borderId="0" xfId="0" applyFont="1" applyFill="1"/>
    <xf numFmtId="3" fontId="20" fillId="2" borderId="1" xfId="0" applyNumberFormat="1" applyFont="1" applyFill="1" applyBorder="1" applyAlignment="1">
      <alignment horizontal="center" vertical="center" wrapText="1"/>
    </xf>
    <xf numFmtId="4" fontId="20" fillId="2" borderId="1" xfId="0" applyNumberFormat="1" applyFont="1" applyFill="1" applyBorder="1" applyAlignment="1">
      <alignment horizontal="left"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 fillId="2" borderId="1" xfId="0" applyFont="1" applyFill="1" applyBorder="1" applyAlignment="1">
      <alignment vertical="center"/>
    </xf>
    <xf numFmtId="0" fontId="13" fillId="0" borderId="1" xfId="0" applyFont="1" applyBorder="1" applyAlignment="1">
      <alignment horizontal="center" wrapText="1"/>
    </xf>
    <xf numFmtId="0" fontId="6" fillId="0" borderId="1" xfId="0" applyFont="1" applyBorder="1" applyAlignment="1">
      <alignment horizontal="center" wrapText="1"/>
    </xf>
    <xf numFmtId="0" fontId="6" fillId="0" borderId="0" xfId="0" applyFont="1" applyAlignment="1">
      <alignment horizontal="center" wrapText="1"/>
    </xf>
    <xf numFmtId="0" fontId="6" fillId="0" borderId="0" xfId="0" applyFont="1" applyAlignment="1">
      <alignment horizontal="center"/>
    </xf>
    <xf numFmtId="0" fontId="4" fillId="2" borderId="1" xfId="0" applyFont="1" applyFill="1" applyBorder="1"/>
    <xf numFmtId="0" fontId="2" fillId="2" borderId="1" xfId="0" applyFont="1" applyFill="1" applyBorder="1" applyAlignment="1">
      <alignment horizontal="right" vertical="center" wrapText="1"/>
    </xf>
    <xf numFmtId="3" fontId="3" fillId="2" borderId="1" xfId="0" applyNumberFormat="1" applyFont="1" applyFill="1" applyBorder="1" applyAlignment="1">
      <alignment horizontal="right" vertical="center" wrapText="1"/>
    </xf>
    <xf numFmtId="0" fontId="20" fillId="2" borderId="0" xfId="0" applyFont="1" applyFill="1" applyAlignment="1">
      <alignment horizontal="center" vertical="center" wrapText="1"/>
    </xf>
    <xf numFmtId="0" fontId="2" fillId="0" borderId="0" xfId="53" applyFont="1"/>
    <xf numFmtId="0" fontId="2" fillId="2" borderId="0" xfId="53" applyFont="1" applyFill="1"/>
    <xf numFmtId="0" fontId="12" fillId="3" borderId="0" xfId="53" applyFont="1" applyFill="1"/>
    <xf numFmtId="173" fontId="20" fillId="2" borderId="1" xfId="0" applyNumberFormat="1" applyFont="1" applyFill="1" applyBorder="1" applyAlignment="1">
      <alignment horizontal="right" vertical="center" wrapText="1"/>
    </xf>
    <xf numFmtId="3" fontId="20" fillId="2" borderId="1" xfId="0" applyNumberFormat="1" applyFont="1" applyFill="1" applyBorder="1" applyAlignment="1">
      <alignment horizontal="right" vertical="center" wrapText="1"/>
    </xf>
    <xf numFmtId="0" fontId="20" fillId="2" borderId="1" xfId="0" applyFont="1" applyFill="1" applyBorder="1" applyAlignment="1">
      <alignment horizontal="right" vertical="center" wrapText="1"/>
    </xf>
    <xf numFmtId="0" fontId="21" fillId="2" borderId="1" xfId="0" applyFont="1" applyFill="1" applyBorder="1" applyAlignment="1">
      <alignment horizontal="right" vertical="center"/>
    </xf>
    <xf numFmtId="0" fontId="21" fillId="2" borderId="0" xfId="0" applyFont="1" applyFill="1" applyAlignment="1">
      <alignment vertical="center"/>
    </xf>
    <xf numFmtId="0" fontId="3" fillId="2" borderId="1" xfId="0" applyFont="1" applyFill="1" applyBorder="1" applyAlignment="1">
      <alignment horizontal="right" vertical="center" wrapText="1"/>
    </xf>
    <xf numFmtId="0" fontId="4" fillId="2" borderId="1" xfId="0" applyFont="1" applyFill="1" applyBorder="1" applyAlignment="1">
      <alignment horizontal="right" vertical="center"/>
    </xf>
    <xf numFmtId="0" fontId="4" fillId="2" borderId="0" xfId="0" applyFont="1" applyFill="1" applyAlignment="1">
      <alignment vertical="center"/>
    </xf>
    <xf numFmtId="0" fontId="3" fillId="2" borderId="1" xfId="0" applyFont="1" applyFill="1" applyBorder="1" applyAlignment="1">
      <alignment horizontal="right" vertical="center"/>
    </xf>
    <xf numFmtId="168" fontId="20" fillId="2" borderId="1" xfId="43" applyNumberFormat="1" applyFont="1" applyFill="1" applyBorder="1" applyAlignment="1">
      <alignment horizontal="right" vertical="center" wrapText="1"/>
    </xf>
    <xf numFmtId="0" fontId="5" fillId="2" borderId="1" xfId="0" applyFont="1" applyFill="1" applyBorder="1" applyAlignment="1">
      <alignment horizontal="center" vertical="center" wrapText="1"/>
    </xf>
    <xf numFmtId="172" fontId="5" fillId="2" borderId="1" xfId="0" applyNumberFormat="1" applyFont="1" applyFill="1" applyBorder="1"/>
    <xf numFmtId="0" fontId="5" fillId="2" borderId="1" xfId="0" applyFont="1" applyFill="1" applyBorder="1"/>
    <xf numFmtId="167" fontId="3" fillId="2" borderId="1" xfId="0" applyNumberFormat="1" applyFont="1" applyFill="1" applyBorder="1" applyAlignment="1">
      <alignment horizontal="right" vertical="center" wrapText="1"/>
    </xf>
    <xf numFmtId="167" fontId="2" fillId="2" borderId="1" xfId="0" applyNumberFormat="1" applyFont="1" applyFill="1" applyBorder="1" applyAlignment="1">
      <alignment horizontal="right" vertical="center" wrapText="1"/>
    </xf>
    <xf numFmtId="164" fontId="2" fillId="2" borderId="1" xfId="43" applyFont="1" applyFill="1" applyBorder="1" applyAlignment="1">
      <alignment horizontal="right" vertical="center" wrapText="1"/>
    </xf>
    <xf numFmtId="167" fontId="3" fillId="2" borderId="1" xfId="0" applyNumberFormat="1" applyFont="1" applyFill="1" applyBorder="1" applyAlignment="1">
      <alignment horizontal="center" vertical="center"/>
    </xf>
    <xf numFmtId="3" fontId="105" fillId="2" borderId="1" xfId="0" applyNumberFormat="1" applyFont="1" applyFill="1" applyBorder="1" applyAlignment="1">
      <alignment horizontal="center" vertical="center" wrapText="1"/>
    </xf>
    <xf numFmtId="3" fontId="105" fillId="2" borderId="1" xfId="0" applyNumberFormat="1" applyFont="1" applyFill="1" applyBorder="1" applyAlignment="1">
      <alignment vertical="center" wrapText="1"/>
    </xf>
    <xf numFmtId="0" fontId="105" fillId="2" borderId="1" xfId="0" applyFont="1" applyFill="1" applyBorder="1" applyAlignment="1">
      <alignment horizontal="center"/>
    </xf>
    <xf numFmtId="0" fontId="21" fillId="2" borderId="0" xfId="0" applyFont="1" applyFill="1"/>
    <xf numFmtId="167" fontId="21" fillId="2" borderId="0" xfId="0" applyNumberFormat="1" applyFont="1" applyFill="1"/>
    <xf numFmtId="167" fontId="105" fillId="2" borderId="1" xfId="0" applyNumberFormat="1" applyFont="1" applyFill="1" applyBorder="1" applyAlignment="1">
      <alignment horizontal="center" vertical="center"/>
    </xf>
    <xf numFmtId="3" fontId="106" fillId="2" borderId="1" xfId="0" quotePrefix="1" applyNumberFormat="1" applyFont="1" applyFill="1" applyBorder="1" applyAlignment="1">
      <alignment horizontal="center" vertical="center" wrapText="1"/>
    </xf>
    <xf numFmtId="3" fontId="106" fillId="2" borderId="1" xfId="0" applyNumberFormat="1" applyFont="1" applyFill="1" applyBorder="1" applyAlignment="1">
      <alignment vertical="center" wrapText="1"/>
    </xf>
    <xf numFmtId="3" fontId="106" fillId="2" borderId="1" xfId="0" applyNumberFormat="1" applyFont="1" applyFill="1" applyBorder="1" applyAlignment="1">
      <alignment horizontal="center" vertical="center" wrapText="1"/>
    </xf>
    <xf numFmtId="3" fontId="107" fillId="2" borderId="1" xfId="46" quotePrefix="1" applyNumberFormat="1" applyFont="1" applyFill="1" applyBorder="1" applyAlignment="1">
      <alignment horizontal="center" vertical="center" wrapText="1"/>
    </xf>
    <xf numFmtId="3" fontId="107" fillId="2" borderId="1" xfId="46" applyNumberFormat="1" applyFont="1" applyFill="1" applyBorder="1" applyAlignment="1">
      <alignment vertical="center" wrapText="1"/>
    </xf>
    <xf numFmtId="3" fontId="105" fillId="2" borderId="1" xfId="0" quotePrefix="1" applyNumberFormat="1" applyFont="1" applyFill="1" applyBorder="1" applyAlignment="1">
      <alignment horizontal="center" vertical="center" wrapText="1"/>
    </xf>
    <xf numFmtId="0" fontId="105" fillId="2" borderId="1" xfId="0" applyFont="1" applyFill="1" applyBorder="1" applyAlignment="1">
      <alignment horizontal="right"/>
    </xf>
    <xf numFmtId="3" fontId="107" fillId="2" borderId="1" xfId="0" quotePrefix="1" applyNumberFormat="1" applyFont="1" applyFill="1" applyBorder="1" applyAlignment="1">
      <alignment horizontal="center" vertical="center" wrapText="1"/>
    </xf>
    <xf numFmtId="3" fontId="107" fillId="2" borderId="1" xfId="0" applyNumberFormat="1" applyFont="1" applyFill="1" applyBorder="1" applyAlignment="1">
      <alignment vertical="center" wrapText="1"/>
    </xf>
    <xf numFmtId="3" fontId="107" fillId="2" borderId="1" xfId="0" applyNumberFormat="1" applyFont="1" applyFill="1" applyBorder="1" applyAlignment="1">
      <alignment horizontal="center" vertical="center" wrapText="1"/>
    </xf>
    <xf numFmtId="0" fontId="107" fillId="2" borderId="1" xfId="0" applyFont="1" applyFill="1" applyBorder="1" applyAlignment="1">
      <alignment horizontal="right"/>
    </xf>
    <xf numFmtId="0" fontId="106" fillId="2" borderId="1" xfId="0" applyFont="1" applyFill="1" applyBorder="1" applyAlignment="1">
      <alignment horizontal="center" vertical="center" wrapText="1"/>
    </xf>
    <xf numFmtId="0" fontId="106" fillId="2" borderId="1" xfId="0" applyFont="1" applyFill="1" applyBorder="1" applyAlignment="1">
      <alignment horizontal="right"/>
    </xf>
    <xf numFmtId="3" fontId="107" fillId="2" borderId="1" xfId="0" applyNumberFormat="1" applyFont="1" applyFill="1" applyBorder="1" applyAlignment="1">
      <alignment horizontal="right" vertical="center"/>
    </xf>
    <xf numFmtId="167" fontId="106" fillId="2" borderId="1" xfId="43" applyNumberFormat="1" applyFont="1" applyFill="1" applyBorder="1" applyAlignment="1">
      <alignment horizontal="center" vertical="center" wrapText="1"/>
    </xf>
    <xf numFmtId="167" fontId="4" fillId="2" borderId="0" xfId="0" applyNumberFormat="1" applyFont="1" applyFill="1"/>
    <xf numFmtId="167" fontId="107" fillId="2" borderId="1" xfId="43" applyNumberFormat="1" applyFont="1" applyFill="1" applyBorder="1" applyAlignment="1">
      <alignment horizontal="right" vertical="center" wrapText="1"/>
    </xf>
    <xf numFmtId="3" fontId="3" fillId="0" borderId="1" xfId="0" applyNumberFormat="1" applyFont="1" applyBorder="1" applyAlignment="1">
      <alignment vertical="center" wrapText="1"/>
    </xf>
    <xf numFmtId="3" fontId="3" fillId="0" borderId="1" xfId="0" applyNumberFormat="1" applyFont="1" applyBorder="1" applyAlignment="1">
      <alignment horizontal="center" vertical="center" wrapText="1"/>
    </xf>
    <xf numFmtId="3" fontId="3" fillId="0" borderId="1" xfId="0" applyNumberFormat="1" applyFont="1" applyBorder="1" applyAlignment="1">
      <alignment horizontal="right" vertical="center" wrapText="1"/>
    </xf>
    <xf numFmtId="0" fontId="3" fillId="0" borderId="1" xfId="0" applyFont="1" applyBorder="1" applyAlignment="1">
      <alignment horizontal="right" vertical="center" wrapText="1"/>
    </xf>
    <xf numFmtId="167" fontId="4" fillId="0" borderId="1" xfId="0" applyNumberFormat="1" applyFont="1" applyBorder="1" applyAlignment="1">
      <alignment horizontal="right" vertical="center"/>
    </xf>
    <xf numFmtId="3" fontId="2" fillId="0" borderId="1" xfId="0" applyNumberFormat="1" applyFont="1" applyBorder="1" applyAlignment="1">
      <alignment vertical="center" wrapText="1"/>
    </xf>
    <xf numFmtId="3" fontId="2" fillId="0" borderId="1" xfId="0" applyNumberFormat="1" applyFont="1" applyBorder="1" applyAlignment="1">
      <alignment horizontal="center" vertical="center" wrapText="1"/>
    </xf>
    <xf numFmtId="3"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xf numFmtId="0" fontId="5" fillId="2" borderId="0" xfId="0" applyFont="1" applyFill="1" applyAlignment="1">
      <alignment vertical="center"/>
    </xf>
    <xf numFmtId="0" fontId="5" fillId="0" borderId="1" xfId="0" applyFont="1" applyBorder="1" applyAlignment="1">
      <alignment horizontal="right" vertical="center"/>
    </xf>
    <xf numFmtId="0" fontId="5" fillId="2" borderId="0" xfId="0" applyFont="1" applyFill="1" applyAlignment="1">
      <alignment horizontal="right"/>
    </xf>
    <xf numFmtId="0" fontId="2" fillId="0" borderId="0" xfId="0" applyFont="1" applyAlignment="1">
      <alignment horizontal="right"/>
    </xf>
    <xf numFmtId="176" fontId="4" fillId="2" borderId="1" xfId="0" applyNumberFormat="1" applyFont="1" applyFill="1" applyBorder="1" applyAlignment="1">
      <alignment horizontal="right" vertical="center"/>
    </xf>
    <xf numFmtId="0" fontId="3" fillId="0" borderId="0" xfId="0" applyFont="1" applyAlignment="1">
      <alignment horizontal="center" vertical="center"/>
    </xf>
    <xf numFmtId="0" fontId="4" fillId="2" borderId="0" xfId="0" applyFont="1" applyFill="1" applyAlignment="1">
      <alignment horizontal="center" vertical="center"/>
    </xf>
    <xf numFmtId="168" fontId="3" fillId="2" borderId="1" xfId="0" applyNumberFormat="1" applyFont="1" applyFill="1" applyBorder="1" applyAlignment="1">
      <alignment horizontal="right" vertical="center" wrapText="1"/>
    </xf>
    <xf numFmtId="168" fontId="2" fillId="2" borderId="1" xfId="0" applyNumberFormat="1" applyFont="1" applyFill="1" applyBorder="1" applyAlignment="1">
      <alignment horizontal="right" vertical="center" wrapText="1"/>
    </xf>
    <xf numFmtId="164" fontId="3" fillId="2" borderId="1" xfId="0" applyNumberFormat="1" applyFont="1" applyFill="1" applyBorder="1" applyAlignment="1">
      <alignment horizontal="right" vertical="center" wrapText="1"/>
    </xf>
    <xf numFmtId="167" fontId="4" fillId="2" borderId="1" xfId="43" applyNumberFormat="1" applyFont="1" applyFill="1" applyBorder="1" applyAlignment="1">
      <alignment horizontal="right" vertical="center"/>
    </xf>
    <xf numFmtId="164" fontId="2" fillId="2" borderId="1" xfId="0" applyNumberFormat="1" applyFont="1" applyFill="1" applyBorder="1" applyAlignment="1">
      <alignment horizontal="right" vertical="center" wrapText="1"/>
    </xf>
    <xf numFmtId="170" fontId="2" fillId="2" borderId="1" xfId="0" applyNumberFormat="1" applyFont="1" applyFill="1" applyBorder="1" applyAlignment="1">
      <alignment horizontal="right" vertical="center" wrapText="1"/>
    </xf>
    <xf numFmtId="1" fontId="104" fillId="2" borderId="1" xfId="0" applyNumberFormat="1" applyFont="1" applyFill="1" applyBorder="1" applyAlignment="1">
      <alignment horizontal="right" vertical="center" wrapText="1"/>
    </xf>
    <xf numFmtId="0" fontId="104" fillId="2" borderId="1" xfId="0" applyFont="1" applyFill="1" applyBorder="1" applyAlignment="1">
      <alignment horizontal="right" vertical="center" wrapText="1"/>
    </xf>
    <xf numFmtId="3" fontId="3" fillId="2" borderId="1" xfId="0" applyNumberFormat="1" applyFont="1" applyFill="1" applyBorder="1" applyAlignment="1">
      <alignment horizontal="right" vertical="center"/>
    </xf>
    <xf numFmtId="167" fontId="4" fillId="2" borderId="1" xfId="0" applyNumberFormat="1" applyFont="1" applyFill="1" applyBorder="1" applyAlignment="1">
      <alignment horizontal="right" vertical="center"/>
    </xf>
    <xf numFmtId="173" fontId="2" fillId="2" borderId="1" xfId="0" applyNumberFormat="1" applyFont="1" applyFill="1" applyBorder="1" applyAlignment="1">
      <alignment horizontal="right" vertical="center" wrapText="1"/>
    </xf>
    <xf numFmtId="167" fontId="20" fillId="2" borderId="1" xfId="0" applyNumberFormat="1" applyFont="1" applyFill="1" applyBorder="1" applyAlignment="1">
      <alignment horizontal="right" vertical="center" wrapText="1"/>
    </xf>
    <xf numFmtId="167" fontId="108" fillId="2" borderId="1" xfId="0" applyNumberFormat="1" applyFont="1" applyFill="1" applyBorder="1" applyAlignment="1">
      <alignment horizontal="right" vertical="center"/>
    </xf>
    <xf numFmtId="3" fontId="106" fillId="2" borderId="1" xfId="0" applyNumberFormat="1" applyFont="1" applyFill="1" applyBorder="1" applyAlignment="1">
      <alignment horizontal="right" vertical="center" wrapText="1"/>
    </xf>
    <xf numFmtId="0" fontId="107" fillId="2" borderId="1" xfId="0" applyFont="1" applyFill="1" applyBorder="1" applyAlignment="1">
      <alignment horizontal="right" vertical="center"/>
    </xf>
    <xf numFmtId="3" fontId="107" fillId="2" borderId="1" xfId="46" applyNumberFormat="1" applyFont="1" applyFill="1" applyBorder="1" applyAlignment="1">
      <alignment horizontal="right" vertical="center" wrapText="1"/>
    </xf>
    <xf numFmtId="3" fontId="105" fillId="2" borderId="1" xfId="0" applyNumberFormat="1" applyFont="1" applyFill="1" applyBorder="1" applyAlignment="1">
      <alignment horizontal="right" vertical="center" wrapText="1"/>
    </xf>
    <xf numFmtId="167" fontId="105" fillId="2" borderId="1" xfId="0" applyNumberFormat="1" applyFont="1" applyFill="1" applyBorder="1" applyAlignment="1">
      <alignment horizontal="right" vertical="center" wrapText="1"/>
    </xf>
    <xf numFmtId="3" fontId="107" fillId="2" borderId="1" xfId="0" applyNumberFormat="1" applyFont="1" applyFill="1" applyBorder="1" applyAlignment="1">
      <alignment horizontal="right" vertical="center" wrapText="1"/>
    </xf>
    <xf numFmtId="167" fontId="107" fillId="2" borderId="1" xfId="0" applyNumberFormat="1" applyFont="1" applyFill="1" applyBorder="1" applyAlignment="1">
      <alignment horizontal="right" vertical="center" wrapText="1"/>
    </xf>
    <xf numFmtId="168" fontId="107" fillId="2" borderId="1" xfId="0" applyNumberFormat="1" applyFont="1" applyFill="1" applyBorder="1" applyAlignment="1">
      <alignment horizontal="right" vertical="center" wrapText="1"/>
    </xf>
    <xf numFmtId="0" fontId="107" fillId="2" borderId="1" xfId="0" applyFont="1" applyFill="1" applyBorder="1" applyAlignment="1">
      <alignment horizontal="right" vertical="center" wrapText="1"/>
    </xf>
    <xf numFmtId="167" fontId="106" fillId="2" borderId="1" xfId="0" applyNumberFormat="1" applyFont="1" applyFill="1" applyBorder="1" applyAlignment="1">
      <alignment horizontal="right" vertical="center" wrapText="1"/>
    </xf>
    <xf numFmtId="168" fontId="106" fillId="2" borderId="1" xfId="0" applyNumberFormat="1" applyFont="1" applyFill="1" applyBorder="1" applyAlignment="1">
      <alignment horizontal="right" vertical="center" wrapText="1"/>
    </xf>
    <xf numFmtId="0" fontId="106" fillId="2" borderId="1" xfId="0" applyFont="1" applyFill="1" applyBorder="1" applyAlignment="1">
      <alignment horizontal="right" vertical="center" wrapText="1"/>
    </xf>
    <xf numFmtId="167" fontId="107" fillId="2" borderId="1" xfId="43" applyNumberFormat="1" applyFont="1" applyFill="1" applyBorder="1" applyAlignment="1">
      <alignment horizontal="right" vertical="center"/>
    </xf>
    <xf numFmtId="167" fontId="3" fillId="0" borderId="1" xfId="43" applyNumberFormat="1" applyFont="1" applyFill="1" applyBorder="1" applyAlignment="1">
      <alignment horizontal="right" vertical="center" wrapText="1"/>
    </xf>
    <xf numFmtId="167" fontId="3" fillId="0" borderId="1" xfId="0" applyNumberFormat="1" applyFont="1" applyBorder="1" applyAlignment="1">
      <alignment horizontal="right" vertical="center" wrapText="1"/>
    </xf>
    <xf numFmtId="0" fontId="4" fillId="0" borderId="1" xfId="0" applyFont="1" applyBorder="1" applyAlignment="1">
      <alignment horizontal="right" vertical="center"/>
    </xf>
    <xf numFmtId="0" fontId="2" fillId="0" borderId="1" xfId="0" applyFont="1" applyBorder="1" applyAlignment="1">
      <alignment horizontal="right" vertical="center"/>
    </xf>
    <xf numFmtId="167" fontId="2" fillId="0" borderId="1" xfId="0" applyNumberFormat="1" applyFont="1" applyBorder="1" applyAlignment="1">
      <alignment horizontal="right" vertical="center" wrapText="1"/>
    </xf>
    <xf numFmtId="167" fontId="2" fillId="0" borderId="1" xfId="43" applyNumberFormat="1" applyFont="1" applyFill="1" applyBorder="1" applyAlignment="1">
      <alignment horizontal="right" vertical="center" wrapText="1"/>
    </xf>
    <xf numFmtId="164" fontId="20" fillId="2" borderId="1" xfId="0" applyNumberFormat="1" applyFont="1" applyFill="1" applyBorder="1" applyAlignment="1">
      <alignment horizontal="right" vertical="center" wrapText="1"/>
    </xf>
    <xf numFmtId="164" fontId="103" fillId="2" borderId="1" xfId="43" applyFont="1" applyFill="1" applyBorder="1" applyAlignment="1">
      <alignment horizontal="right" vertical="center"/>
    </xf>
    <xf numFmtId="0" fontId="103" fillId="2" borderId="1" xfId="0" applyFont="1" applyFill="1" applyBorder="1" applyAlignment="1">
      <alignment horizontal="right" vertical="center"/>
    </xf>
    <xf numFmtId="167" fontId="3" fillId="0" borderId="1" xfId="0" applyNumberFormat="1" applyFont="1" applyBorder="1" applyAlignment="1">
      <alignment horizontal="center" vertical="center" wrapText="1"/>
    </xf>
    <xf numFmtId="0" fontId="2" fillId="2" borderId="1" xfId="44" applyFont="1" applyFill="1" applyBorder="1" applyAlignment="1">
      <alignment horizontal="center" vertical="center"/>
    </xf>
    <xf numFmtId="0" fontId="2" fillId="2" borderId="1" xfId="44" applyFont="1" applyFill="1" applyBorder="1" applyAlignment="1">
      <alignment horizontal="left" vertical="center" wrapText="1"/>
    </xf>
    <xf numFmtId="0" fontId="2" fillId="2" borderId="1" xfId="44" applyFont="1" applyFill="1" applyBorder="1" applyAlignment="1">
      <alignment horizontal="center" vertical="center" wrapText="1"/>
    </xf>
    <xf numFmtId="167" fontId="2" fillId="2" borderId="1" xfId="54" applyNumberFormat="1" applyFont="1" applyFill="1" applyBorder="1" applyAlignment="1">
      <alignment vertical="center" wrapText="1"/>
    </xf>
    <xf numFmtId="168" fontId="2" fillId="2" borderId="1" xfId="54" applyNumberFormat="1" applyFont="1" applyFill="1" applyBorder="1" applyAlignment="1">
      <alignment horizontal="center" vertical="center" wrapText="1"/>
    </xf>
    <xf numFmtId="0" fontId="2" fillId="2" borderId="1" xfId="51" applyFont="1" applyFill="1" applyBorder="1" applyAlignment="1">
      <alignment horizontal="center" vertical="center"/>
    </xf>
    <xf numFmtId="0" fontId="2" fillId="2" borderId="1" xfId="51" applyFont="1" applyFill="1" applyBorder="1"/>
    <xf numFmtId="0" fontId="2" fillId="2" borderId="1" xfId="51" applyFont="1" applyFill="1" applyBorder="1" applyAlignment="1">
      <alignment horizontal="center" vertical="center" wrapText="1"/>
    </xf>
    <xf numFmtId="167" fontId="2" fillId="2" borderId="1" xfId="51" applyNumberFormat="1" applyFont="1" applyFill="1" applyBorder="1" applyAlignment="1">
      <alignment horizontal="center" vertical="center" wrapText="1"/>
    </xf>
    <xf numFmtId="0" fontId="2" fillId="2" borderId="5" xfId="44" applyFont="1" applyFill="1" applyBorder="1" applyAlignment="1">
      <alignment horizontal="center" vertical="center" wrapText="1"/>
    </xf>
    <xf numFmtId="16" fontId="2" fillId="2" borderId="1" xfId="44" applyNumberFormat="1" applyFont="1" applyFill="1" applyBorder="1" applyAlignment="1">
      <alignment horizontal="center" vertical="center" wrapText="1"/>
    </xf>
    <xf numFmtId="16" fontId="2" fillId="2" borderId="1" xfId="51" applyNumberFormat="1" applyFont="1" applyFill="1" applyBorder="1" applyAlignment="1">
      <alignment horizontal="center" vertical="center" wrapText="1"/>
    </xf>
    <xf numFmtId="167" fontId="2" fillId="2" borderId="1" xfId="54" applyNumberFormat="1" applyFont="1" applyFill="1" applyBorder="1" applyAlignment="1">
      <alignment horizontal="center" vertical="center" wrapText="1"/>
    </xf>
    <xf numFmtId="0" fontId="2" fillId="2" borderId="1" xfId="44" quotePrefix="1" applyFont="1" applyFill="1" applyBorder="1" applyAlignment="1">
      <alignment horizontal="center" vertical="center" wrapText="1"/>
    </xf>
    <xf numFmtId="0" fontId="2" fillId="2" borderId="0" xfId="51" applyFont="1" applyFill="1"/>
    <xf numFmtId="0" fontId="2" fillId="2" borderId="1" xfId="51" applyFont="1" applyFill="1" applyBorder="1" applyAlignment="1">
      <alignment horizontal="left" vertical="center" wrapText="1"/>
    </xf>
    <xf numFmtId="0" fontId="2" fillId="2" borderId="0" xfId="51" applyFont="1" applyFill="1" applyAlignment="1">
      <alignment horizontal="center" vertical="center" wrapText="1"/>
    </xf>
    <xf numFmtId="17" fontId="2" fillId="2" borderId="1" xfId="44" applyNumberFormat="1" applyFont="1" applyFill="1" applyBorder="1" applyAlignment="1">
      <alignment horizontal="center" vertical="center" wrapText="1"/>
    </xf>
    <xf numFmtId="0" fontId="2" fillId="2" borderId="1" xfId="51" quotePrefix="1" applyFont="1" applyFill="1" applyBorder="1" applyAlignment="1">
      <alignment horizontal="center" vertical="center" wrapText="1"/>
    </xf>
    <xf numFmtId="2" fontId="2" fillId="2" borderId="1" xfId="51" applyNumberFormat="1" applyFont="1" applyFill="1" applyBorder="1" applyAlignment="1">
      <alignment horizontal="center" vertical="center" wrapText="1"/>
    </xf>
    <xf numFmtId="3" fontId="2" fillId="2" borderId="1" xfId="51" applyNumberFormat="1" applyFont="1" applyFill="1" applyBorder="1" applyAlignment="1">
      <alignment horizontal="right" vertical="center" wrapText="1"/>
    </xf>
    <xf numFmtId="0" fontId="2" fillId="2" borderId="12" xfId="51" applyFont="1" applyFill="1" applyBorder="1" applyAlignment="1">
      <alignment horizontal="left" vertical="center" wrapText="1"/>
    </xf>
    <xf numFmtId="0" fontId="2" fillId="2" borderId="12" xfId="51" applyFont="1" applyFill="1" applyBorder="1" applyAlignment="1">
      <alignment horizontal="center" vertical="center" wrapText="1"/>
    </xf>
    <xf numFmtId="0" fontId="2" fillId="2" borderId="12" xfId="51" applyFont="1" applyFill="1" applyBorder="1" applyAlignment="1">
      <alignment horizontal="center" vertical="center"/>
    </xf>
    <xf numFmtId="167" fontId="2" fillId="2" borderId="12" xfId="54" applyNumberFormat="1" applyFont="1" applyFill="1" applyBorder="1" applyAlignment="1">
      <alignment vertical="center" wrapText="1"/>
    </xf>
    <xf numFmtId="0" fontId="2" fillId="2" borderId="1" xfId="51" quotePrefix="1" applyFont="1" applyFill="1" applyBorder="1" applyAlignment="1">
      <alignment horizontal="left" vertical="center" wrapText="1"/>
    </xf>
    <xf numFmtId="2" fontId="2" fillId="2" borderId="1" xfId="51" quotePrefix="1" applyNumberFormat="1" applyFont="1" applyFill="1" applyBorder="1" applyAlignment="1">
      <alignment horizontal="center" vertical="center" wrapText="1"/>
    </xf>
    <xf numFmtId="37" fontId="2" fillId="2" borderId="1" xfId="54" applyNumberFormat="1" applyFont="1" applyFill="1" applyBorder="1" applyAlignment="1">
      <alignment horizontal="right" vertical="center" wrapText="1"/>
    </xf>
    <xf numFmtId="164" fontId="10" fillId="2" borderId="0" xfId="43" applyFont="1" applyFill="1"/>
    <xf numFmtId="167" fontId="4" fillId="2" borderId="0" xfId="43" applyNumberFormat="1" applyFont="1" applyFill="1"/>
    <xf numFmtId="167" fontId="4" fillId="2" borderId="0" xfId="0" applyNumberFormat="1" applyFont="1" applyFill="1" applyAlignment="1">
      <alignment vertical="center"/>
    </xf>
    <xf numFmtId="167" fontId="5" fillId="2" borderId="0" xfId="0" applyNumberFormat="1" applyFont="1" applyFill="1" applyAlignment="1">
      <alignment vertical="center"/>
    </xf>
    <xf numFmtId="167" fontId="109" fillId="2" borderId="1" xfId="43" applyNumberFormat="1" applyFont="1" applyFill="1" applyBorder="1" applyAlignment="1">
      <alignment horizontal="right" vertical="center"/>
    </xf>
    <xf numFmtId="0" fontId="5" fillId="2" borderId="1" xfId="0" applyFont="1" applyFill="1" applyBorder="1" applyAlignment="1">
      <alignment horizontal="center" vertical="center"/>
    </xf>
    <xf numFmtId="167" fontId="106" fillId="2" borderId="1" xfId="43" applyNumberFormat="1" applyFont="1" applyFill="1" applyBorder="1" applyAlignment="1">
      <alignment horizontal="left" vertical="center" wrapText="1"/>
    </xf>
    <xf numFmtId="0" fontId="3" fillId="0" borderId="1" xfId="0" applyFont="1" applyBorder="1" applyAlignment="1">
      <alignment horizontal="right" vertical="center"/>
    </xf>
    <xf numFmtId="0" fontId="111" fillId="0" borderId="0" xfId="0" applyFont="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12" fillId="0" borderId="1" xfId="0" applyFont="1" applyBorder="1" applyAlignment="1">
      <alignment horizontal="center" vertical="center" wrapText="1"/>
    </xf>
    <xf numFmtId="0" fontId="2" fillId="0" borderId="1" xfId="51" applyFont="1" applyBorder="1" applyAlignment="1">
      <alignment horizontal="left" vertical="center" wrapText="1"/>
    </xf>
    <xf numFmtId="0" fontId="2" fillId="0" borderId="1" xfId="0" applyFont="1" applyBorder="1" applyAlignment="1">
      <alignment vertical="center" wrapText="1"/>
    </xf>
    <xf numFmtId="0" fontId="112" fillId="0" borderId="1" xfId="52" applyFont="1" applyBorder="1" applyAlignment="1">
      <alignment horizontal="center" vertical="center"/>
    </xf>
    <xf numFmtId="0" fontId="112" fillId="0" borderId="1" xfId="52" applyFont="1" applyBorder="1" applyAlignment="1">
      <alignment horizontal="center" vertical="center" wrapText="1"/>
    </xf>
    <xf numFmtId="0" fontId="112" fillId="0" borderId="1" xfId="0" applyFont="1" applyBorder="1" applyAlignment="1">
      <alignment horizontal="center" vertical="center"/>
    </xf>
    <xf numFmtId="0" fontId="2" fillId="0" borderId="1" xfId="44" applyFont="1" applyBorder="1" applyAlignment="1">
      <alignment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6" fillId="0" borderId="20" xfId="0" applyFont="1" applyBorder="1" applyAlignment="1">
      <alignment horizontal="center" vertical="center" wrapText="1"/>
    </xf>
    <xf numFmtId="167" fontId="2" fillId="0" borderId="0" xfId="53" applyNumberFormat="1" applyFont="1"/>
    <xf numFmtId="4" fontId="3" fillId="0" borderId="1" xfId="0" applyNumberFormat="1" applyFont="1" applyBorder="1" applyAlignment="1">
      <alignment horizontal="right" vertical="center" wrapText="1"/>
    </xf>
    <xf numFmtId="0" fontId="5" fillId="0" borderId="0" xfId="0" applyFont="1"/>
    <xf numFmtId="167" fontId="5" fillId="0" borderId="0" xfId="0" applyNumberFormat="1" applyFont="1"/>
    <xf numFmtId="167" fontId="3" fillId="0" borderId="1" xfId="0" applyNumberFormat="1" applyFont="1" applyBorder="1" applyAlignment="1">
      <alignment vertical="center" wrapText="1"/>
    </xf>
    <xf numFmtId="3" fontId="13" fillId="0" borderId="1" xfId="0" applyNumberFormat="1" applyFont="1" applyBorder="1" applyAlignment="1">
      <alignment vertical="center" wrapText="1"/>
    </xf>
    <xf numFmtId="167" fontId="13" fillId="0" borderId="1" xfId="0" applyNumberFormat="1" applyFont="1" applyBorder="1" applyAlignment="1">
      <alignment vertical="center" wrapText="1"/>
    </xf>
    <xf numFmtId="0" fontId="13" fillId="0" borderId="1" xfId="0" applyFont="1" applyBorder="1" applyAlignment="1">
      <alignment vertical="center" wrapText="1"/>
    </xf>
    <xf numFmtId="171" fontId="13" fillId="0" borderId="1" xfId="0" applyNumberFormat="1" applyFont="1" applyBorder="1" applyAlignment="1">
      <alignment horizontal="center" vertical="center" wrapText="1"/>
    </xf>
    <xf numFmtId="0" fontId="4" fillId="0" borderId="0" xfId="0" applyFont="1"/>
    <xf numFmtId="168" fontId="2" fillId="0" borderId="1" xfId="0" applyNumberFormat="1" applyFont="1" applyBorder="1" applyAlignment="1">
      <alignment vertical="center" wrapText="1"/>
    </xf>
    <xf numFmtId="167" fontId="12" fillId="0" borderId="1" xfId="0" applyNumberFormat="1" applyFont="1" applyBorder="1" applyAlignment="1">
      <alignment vertical="center" wrapText="1"/>
    </xf>
    <xf numFmtId="164" fontId="6" fillId="0" borderId="1" xfId="43" applyFont="1" applyFill="1" applyBorder="1" applyAlignment="1">
      <alignment vertical="center" wrapText="1"/>
    </xf>
    <xf numFmtId="168" fontId="6" fillId="0" borderId="1" xfId="43" applyNumberFormat="1" applyFont="1" applyFill="1" applyBorder="1" applyAlignment="1">
      <alignment vertical="center" wrapText="1"/>
    </xf>
    <xf numFmtId="0" fontId="7" fillId="0" borderId="0" xfId="0" applyFont="1"/>
    <xf numFmtId="168" fontId="3" fillId="0" borderId="1" xfId="0" applyNumberFormat="1" applyFont="1" applyBorder="1" applyAlignment="1">
      <alignment vertical="center" wrapText="1"/>
    </xf>
    <xf numFmtId="173" fontId="13" fillId="0" borderId="1" xfId="0" applyNumberFormat="1" applyFont="1" applyBorder="1" applyAlignment="1">
      <alignment vertical="center" wrapText="1"/>
    </xf>
    <xf numFmtId="173" fontId="6" fillId="0" borderId="1" xfId="0" applyNumberFormat="1" applyFont="1" applyBorder="1" applyAlignment="1">
      <alignment vertical="center" wrapText="1"/>
    </xf>
    <xf numFmtId="167" fontId="2" fillId="0" borderId="1" xfId="0" applyNumberFormat="1" applyFont="1" applyBorder="1" applyAlignment="1">
      <alignment vertical="center" wrapText="1"/>
    </xf>
    <xf numFmtId="174" fontId="4" fillId="0" borderId="0" xfId="0" applyNumberFormat="1" applyFont="1"/>
    <xf numFmtId="3" fontId="2" fillId="0" borderId="1" xfId="0" quotePrefix="1" applyNumberFormat="1" applyFont="1" applyBorder="1" applyAlignment="1">
      <alignment horizontal="center" vertical="center" wrapText="1"/>
    </xf>
    <xf numFmtId="164" fontId="2" fillId="0" borderId="1" xfId="0" applyNumberFormat="1" applyFont="1" applyBorder="1" applyAlignment="1">
      <alignment vertical="center" wrapText="1"/>
    </xf>
    <xf numFmtId="0" fontId="3" fillId="0" borderId="1" xfId="0" applyFont="1" applyBorder="1" applyAlignment="1">
      <alignment vertical="center" wrapText="1"/>
    </xf>
    <xf numFmtId="3" fontId="3" fillId="0" borderId="26" xfId="0" applyNumberFormat="1" applyFont="1" applyBorder="1" applyAlignment="1">
      <alignment vertical="center" wrapText="1"/>
    </xf>
    <xf numFmtId="3" fontId="3" fillId="0" borderId="20" xfId="0" applyNumberFormat="1" applyFont="1" applyBorder="1" applyAlignment="1">
      <alignment vertical="center" wrapText="1"/>
    </xf>
    <xf numFmtId="3" fontId="2" fillId="0" borderId="26" xfId="0" applyNumberFormat="1" applyFont="1" applyBorder="1" applyAlignment="1">
      <alignment vertical="center" wrapText="1"/>
    </xf>
    <xf numFmtId="3" fontId="2" fillId="0" borderId="20" xfId="0" applyNumberFormat="1" applyFont="1" applyBorder="1" applyAlignment="1">
      <alignment horizontal="center" vertical="center" wrapText="1"/>
    </xf>
    <xf numFmtId="167" fontId="2" fillId="0" borderId="20" xfId="0" applyNumberFormat="1" applyFont="1" applyBorder="1" applyAlignment="1">
      <alignment vertical="center" wrapText="1"/>
    </xf>
    <xf numFmtId="0" fontId="2" fillId="0" borderId="20" xfId="0" applyFont="1" applyBorder="1" applyAlignment="1">
      <alignment vertical="center" wrapText="1"/>
    </xf>
    <xf numFmtId="0" fontId="8" fillId="0" borderId="0" xfId="0" applyFont="1"/>
    <xf numFmtId="3" fontId="6" fillId="0" borderId="1" xfId="0" applyNumberFormat="1" applyFont="1" applyBorder="1" applyAlignment="1">
      <alignment vertical="center" wrapText="1"/>
    </xf>
    <xf numFmtId="167" fontId="6" fillId="0" borderId="1" xfId="0" applyNumberFormat="1" applyFont="1" applyBorder="1" applyAlignment="1">
      <alignment vertical="center" wrapText="1"/>
    </xf>
    <xf numFmtId="168" fontId="13" fillId="0" borderId="1" xfId="0" applyNumberFormat="1" applyFont="1" applyBorder="1" applyAlignment="1">
      <alignment vertical="center" wrapText="1"/>
    </xf>
    <xf numFmtId="164" fontId="13" fillId="0" borderId="1" xfId="0" applyNumberFormat="1" applyFont="1" applyBorder="1" applyAlignment="1">
      <alignment vertical="center" wrapText="1"/>
    </xf>
    <xf numFmtId="167" fontId="34" fillId="0" borderId="1" xfId="0" applyNumberFormat="1" applyFont="1" applyBorder="1" applyAlignment="1">
      <alignment horizontal="center" vertical="center" wrapText="1"/>
    </xf>
    <xf numFmtId="0" fontId="3" fillId="0" borderId="1" xfId="44" applyFont="1" applyBorder="1" applyAlignment="1">
      <alignment horizontal="center" vertical="center"/>
    </xf>
    <xf numFmtId="0" fontId="3" fillId="0" borderId="1" xfId="44" applyFont="1" applyBorder="1" applyAlignment="1">
      <alignment horizontal="center" vertical="center" wrapText="1"/>
    </xf>
    <xf numFmtId="0" fontId="108" fillId="0" borderId="1" xfId="44" applyFont="1" applyBorder="1" applyAlignment="1">
      <alignment horizontal="center" vertical="center" wrapText="1"/>
    </xf>
    <xf numFmtId="0" fontId="2" fillId="0" borderId="1" xfId="44" applyFont="1" applyBorder="1" applyAlignment="1">
      <alignment horizontal="left" vertical="center" wrapText="1"/>
    </xf>
    <xf numFmtId="16" fontId="2" fillId="0" borderId="1" xfId="44" applyNumberFormat="1" applyFont="1" applyBorder="1" applyAlignment="1">
      <alignment horizontal="center" vertical="center" wrapText="1"/>
    </xf>
    <xf numFmtId="0" fontId="2" fillId="0" borderId="1" xfId="44" applyFont="1" applyBorder="1" applyAlignment="1">
      <alignment horizontal="center" vertical="center" wrapText="1"/>
    </xf>
    <xf numFmtId="167" fontId="3" fillId="0" borderId="1" xfId="54"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24" fillId="0" borderId="0" xfId="0" applyFont="1" applyFill="1"/>
    <xf numFmtId="0" fontId="23" fillId="0" borderId="0" xfId="0" applyFont="1" applyFill="1"/>
    <xf numFmtId="169" fontId="24" fillId="0" borderId="0" xfId="0" applyNumberFormat="1" applyFont="1" applyFill="1"/>
    <xf numFmtId="174" fontId="32" fillId="0" borderId="0" xfId="0" applyNumberFormat="1" applyFont="1" applyFill="1"/>
    <xf numFmtId="0" fontId="32" fillId="0" borderId="0" xfId="0" applyFont="1" applyFill="1"/>
    <xf numFmtId="0" fontId="33" fillId="0" borderId="0" xfId="0" applyFont="1" applyFill="1"/>
    <xf numFmtId="0" fontId="24" fillId="0" borderId="0" xfId="0" applyFont="1" applyFill="1" applyAlignment="1">
      <alignment horizontal="center"/>
    </xf>
    <xf numFmtId="167" fontId="24" fillId="0" borderId="0" xfId="0" applyNumberFormat="1" applyFont="1" applyFill="1"/>
    <xf numFmtId="167" fontId="13" fillId="0" borderId="1" xfId="0" applyNumberFormat="1"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3" fontId="13" fillId="0" borderId="1" xfId="0" applyNumberFormat="1" applyFont="1" applyFill="1" applyBorder="1" applyAlignment="1">
      <alignment vertical="center" wrapText="1"/>
    </xf>
    <xf numFmtId="167" fontId="13" fillId="0" borderId="1" xfId="0" applyNumberFormat="1" applyFont="1" applyFill="1" applyBorder="1" applyAlignment="1">
      <alignment vertical="center" wrapText="1"/>
    </xf>
    <xf numFmtId="1" fontId="24" fillId="0" borderId="1" xfId="0" applyNumberFormat="1" applyFont="1" applyFill="1" applyBorder="1" applyAlignment="1">
      <alignment vertical="center"/>
    </xf>
    <xf numFmtId="3" fontId="6" fillId="0" borderId="1" xfId="0" applyNumberFormat="1" applyFont="1" applyFill="1" applyBorder="1" applyAlignment="1">
      <alignment horizontal="center" vertical="center" wrapText="1"/>
    </xf>
    <xf numFmtId="3" fontId="6" fillId="0" borderId="1" xfId="0" applyNumberFormat="1" applyFont="1" applyFill="1" applyBorder="1" applyAlignment="1">
      <alignment vertical="center" wrapText="1"/>
    </xf>
    <xf numFmtId="167" fontId="6" fillId="0" borderId="1" xfId="0" applyNumberFormat="1" applyFont="1" applyFill="1" applyBorder="1" applyAlignment="1">
      <alignment vertical="center" wrapText="1"/>
    </xf>
    <xf numFmtId="168" fontId="13" fillId="0" borderId="1" xfId="0" applyNumberFormat="1" applyFont="1" applyFill="1" applyBorder="1" applyAlignment="1">
      <alignment vertical="center" wrapText="1"/>
    </xf>
    <xf numFmtId="3" fontId="13" fillId="0" borderId="1" xfId="0" applyNumberFormat="1" applyFont="1" applyFill="1" applyBorder="1" applyAlignment="1">
      <alignment horizontal="right" vertical="center" wrapText="1"/>
    </xf>
    <xf numFmtId="3" fontId="6" fillId="0" borderId="1" xfId="0" applyNumberFormat="1" applyFont="1" applyFill="1" applyBorder="1" applyAlignment="1">
      <alignment horizontal="right" vertical="center" wrapText="1"/>
    </xf>
    <xf numFmtId="167" fontId="6" fillId="0" borderId="1" xfId="0" applyNumberFormat="1" applyFont="1" applyFill="1" applyBorder="1" applyAlignment="1">
      <alignment horizontal="center" vertical="center" wrapText="1"/>
    </xf>
    <xf numFmtId="164" fontId="6" fillId="0" borderId="1" xfId="0" applyNumberFormat="1" applyFont="1" applyFill="1" applyBorder="1" applyAlignment="1">
      <alignment vertical="center" wrapText="1"/>
    </xf>
    <xf numFmtId="168" fontId="6" fillId="0" borderId="1" xfId="0" applyNumberFormat="1" applyFont="1" applyFill="1" applyBorder="1" applyAlignment="1">
      <alignment vertical="center" wrapText="1"/>
    </xf>
    <xf numFmtId="3" fontId="15" fillId="0" borderId="1" xfId="0" applyNumberFormat="1" applyFont="1" applyFill="1" applyBorder="1" applyAlignment="1">
      <alignment horizontal="center" vertical="center" wrapText="1"/>
    </xf>
    <xf numFmtId="3" fontId="15" fillId="0" borderId="1" xfId="0" applyNumberFormat="1" applyFont="1" applyFill="1" applyBorder="1" applyAlignment="1">
      <alignment vertical="center" wrapText="1"/>
    </xf>
    <xf numFmtId="168" fontId="15" fillId="0" borderId="1" xfId="0" applyNumberFormat="1" applyFont="1" applyFill="1" applyBorder="1" applyAlignment="1">
      <alignment vertical="center" wrapText="1"/>
    </xf>
    <xf numFmtId="164" fontId="15" fillId="0" borderId="1" xfId="0" applyNumberFormat="1" applyFont="1" applyFill="1" applyBorder="1" applyAlignment="1">
      <alignment vertical="center" wrapText="1"/>
    </xf>
    <xf numFmtId="167" fontId="15" fillId="0" borderId="1" xfId="0" applyNumberFormat="1" applyFont="1" applyFill="1" applyBorder="1" applyAlignment="1">
      <alignment vertical="center" wrapText="1"/>
    </xf>
    <xf numFmtId="0" fontId="13" fillId="0" borderId="1" xfId="0" applyFont="1" applyFill="1" applyBorder="1" applyAlignment="1">
      <alignment horizontal="center"/>
    </xf>
    <xf numFmtId="0" fontId="13" fillId="0" borderId="1" xfId="0" applyFont="1" applyFill="1" applyBorder="1"/>
    <xf numFmtId="0" fontId="13" fillId="0" borderId="1" xfId="0" applyFont="1" applyFill="1" applyBorder="1" applyAlignment="1">
      <alignment vertical="center"/>
    </xf>
    <xf numFmtId="167" fontId="13" fillId="0" borderId="1" xfId="0" applyNumberFormat="1" applyFont="1" applyFill="1" applyBorder="1" applyAlignment="1">
      <alignment vertical="center"/>
    </xf>
    <xf numFmtId="0" fontId="13" fillId="0" borderId="0" xfId="0" applyFont="1" applyFill="1" applyAlignment="1">
      <alignment horizontal="center" vertical="center" wrapText="1"/>
    </xf>
    <xf numFmtId="0" fontId="15"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167" fontId="13" fillId="0"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21" fillId="2" borderId="0" xfId="0" applyFont="1" applyFill="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167" fontId="3" fillId="2" borderId="1"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xf>
    <xf numFmtId="4" fontId="3" fillId="2" borderId="1" xfId="0" applyNumberFormat="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20" fillId="2" borderId="0" xfId="0" applyFont="1" applyFill="1" applyAlignment="1">
      <alignment horizontal="center" vertical="center" wrapText="1"/>
    </xf>
    <xf numFmtId="4" fontId="3" fillId="2" borderId="3" xfId="0" applyNumberFormat="1" applyFont="1" applyFill="1" applyBorder="1" applyAlignment="1">
      <alignment horizontal="center" vertical="center" wrapText="1"/>
    </xf>
    <xf numFmtId="4" fontId="3" fillId="2" borderId="5"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13" fillId="0" borderId="0" xfId="0" applyFont="1" applyAlignment="1">
      <alignment horizontal="center" vertical="center"/>
    </xf>
    <xf numFmtId="0" fontId="13" fillId="0" borderId="1" xfId="0" applyFont="1" applyBorder="1" applyAlignment="1">
      <alignment horizontal="center" vertical="center" wrapText="1"/>
    </xf>
    <xf numFmtId="164" fontId="13" fillId="0" borderId="1" xfId="43" applyFont="1" applyFill="1" applyBorder="1" applyAlignment="1">
      <alignment horizontal="center" vertical="center" wrapText="1"/>
    </xf>
    <xf numFmtId="167" fontId="13" fillId="0" borderId="1" xfId="43"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6" fillId="0" borderId="1" xfId="0" applyFont="1" applyBorder="1" applyAlignment="1">
      <alignment horizontal="center" vertical="center" wrapText="1"/>
    </xf>
    <xf numFmtId="0" fontId="4" fillId="0" borderId="0" xfId="0" applyFont="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3" fillId="0" borderId="1" xfId="0" applyFont="1" applyBorder="1" applyAlignment="1">
      <alignment horizontal="center" vertical="center"/>
    </xf>
    <xf numFmtId="167" fontId="3" fillId="0" borderId="3" xfId="0" applyNumberFormat="1" applyFont="1" applyBorder="1" applyAlignment="1">
      <alignment horizontal="center" vertical="center" wrapText="1"/>
    </xf>
    <xf numFmtId="167" fontId="3" fillId="0" borderId="5" xfId="0" applyNumberFormat="1" applyFont="1" applyBorder="1" applyAlignment="1">
      <alignment horizontal="center" vertical="center" wrapText="1"/>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21" fillId="0" borderId="0" xfId="0" applyFont="1" applyAlignment="1">
      <alignment horizontal="center" vertical="center" wrapText="1"/>
    </xf>
    <xf numFmtId="0" fontId="6" fillId="0" borderId="2" xfId="51" applyFont="1" applyBorder="1" applyAlignment="1">
      <alignment horizontal="center"/>
    </xf>
    <xf numFmtId="0" fontId="3" fillId="2" borderId="1" xfId="44" applyFont="1" applyFill="1" applyBorder="1" applyAlignment="1">
      <alignment horizontal="center" vertical="center"/>
    </xf>
    <xf numFmtId="0" fontId="13" fillId="0" borderId="0" xfId="51" applyFont="1" applyAlignment="1">
      <alignment horizontal="center" vertical="center"/>
    </xf>
    <xf numFmtId="0" fontId="25" fillId="0" borderId="0" xfId="53" applyFont="1" applyAlignment="1">
      <alignment horizontal="left" vertical="center"/>
    </xf>
    <xf numFmtId="0" fontId="3" fillId="2" borderId="1" xfId="44" applyFont="1" applyFill="1" applyBorder="1" applyAlignment="1">
      <alignment horizontal="center" vertical="center" wrapText="1"/>
    </xf>
    <xf numFmtId="0" fontId="3" fillId="2" borderId="3" xfId="44" applyFont="1" applyFill="1" applyBorder="1" applyAlignment="1">
      <alignment horizontal="center" vertical="center" wrapText="1"/>
    </xf>
    <xf numFmtId="0" fontId="3" fillId="2" borderId="5" xfId="44" applyFont="1" applyFill="1" applyBorder="1" applyAlignment="1">
      <alignment horizontal="center" vertical="center" wrapText="1"/>
    </xf>
    <xf numFmtId="0" fontId="15" fillId="0" borderId="0" xfId="51" applyFont="1" applyAlignment="1">
      <alignment horizontal="center" vertical="center" wrapText="1"/>
    </xf>
    <xf numFmtId="0" fontId="15" fillId="0" borderId="0" xfId="51" applyFont="1" applyAlignment="1">
      <alignment horizontal="center" vertical="center"/>
    </xf>
    <xf numFmtId="0" fontId="3" fillId="2" borderId="6" xfId="51" applyFont="1" applyFill="1" applyBorder="1" applyAlignment="1">
      <alignment horizontal="center" vertical="center"/>
    </xf>
    <xf numFmtId="0" fontId="3" fillId="2" borderId="11" xfId="51" applyFont="1" applyFill="1" applyBorder="1" applyAlignment="1">
      <alignment horizontal="center" vertical="center"/>
    </xf>
    <xf numFmtId="0" fontId="3" fillId="2" borderId="7" xfId="51" applyFont="1" applyFill="1" applyBorder="1" applyAlignment="1">
      <alignment horizontal="center" vertical="center"/>
    </xf>
    <xf numFmtId="0" fontId="26" fillId="0" borderId="6" xfId="0" quotePrefix="1" applyFont="1" applyBorder="1" applyAlignment="1">
      <alignment horizontal="center" vertical="center" wrapText="1"/>
    </xf>
    <xf numFmtId="0" fontId="26" fillId="0" borderId="7" xfId="0" quotePrefix="1"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6" xfId="50" applyFont="1" applyBorder="1" applyAlignment="1">
      <alignment horizontal="center" vertical="center" wrapText="1"/>
    </xf>
    <xf numFmtId="0" fontId="26" fillId="0" borderId="7" xfId="50" applyFont="1" applyBorder="1" applyAlignment="1">
      <alignment horizontal="center" vertical="center" wrapText="1"/>
    </xf>
    <xf numFmtId="0" fontId="26" fillId="0" borderId="6" xfId="0" applyFont="1" applyBorder="1" applyAlignment="1" applyProtection="1">
      <alignment horizontal="center" vertical="center" wrapText="1"/>
      <protection locked="0"/>
    </xf>
    <xf numFmtId="0" fontId="26" fillId="0" borderId="7" xfId="0" applyFont="1" applyBorder="1" applyAlignment="1" applyProtection="1">
      <alignment horizontal="center" vertical="center" wrapText="1"/>
      <protection locked="0"/>
    </xf>
    <xf numFmtId="0" fontId="16" fillId="0" borderId="1" xfId="0" quotePrefix="1" applyFont="1" applyBorder="1" applyAlignment="1">
      <alignment horizontal="center" vertical="center" wrapText="1"/>
    </xf>
    <xf numFmtId="0" fontId="16" fillId="0" borderId="1" xfId="0" applyFont="1" applyBorder="1" applyAlignment="1">
      <alignment horizontal="center" vertical="center" wrapText="1"/>
    </xf>
    <xf numFmtId="0" fontId="30" fillId="0" borderId="8" xfId="0" applyFont="1" applyBorder="1" applyAlignment="1">
      <alignment horizontal="center" vertical="center" wrapText="1"/>
    </xf>
    <xf numFmtId="0" fontId="16" fillId="0" borderId="1" xfId="0" quotePrefix="1" applyFont="1" applyBorder="1" applyAlignment="1" applyProtection="1">
      <alignment horizontal="center" vertical="center" wrapText="1"/>
      <protection locked="0"/>
    </xf>
    <xf numFmtId="0" fontId="16" fillId="0" borderId="1" xfId="50" applyFont="1" applyBorder="1" applyAlignment="1">
      <alignment horizontal="center" vertical="center" wrapText="1"/>
    </xf>
    <xf numFmtId="0" fontId="16" fillId="0" borderId="1" xfId="0" applyFont="1" applyBorder="1" applyAlignment="1">
      <alignment vertical="center" wrapText="1"/>
    </xf>
    <xf numFmtId="0" fontId="16" fillId="0" borderId="1" xfId="51"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9" fillId="0" borderId="1" xfId="0" applyFont="1" applyBorder="1" applyAlignment="1">
      <alignment horizontal="center" vertical="center" wrapText="1"/>
    </xf>
    <xf numFmtId="175" fontId="13" fillId="0" borderId="9" xfId="0" applyNumberFormat="1" applyFont="1" applyBorder="1" applyAlignment="1">
      <alignment horizontal="center" vertical="center" wrapText="1"/>
    </xf>
    <xf numFmtId="175" fontId="13" fillId="0" borderId="4" xfId="0" applyNumberFormat="1" applyFont="1" applyBorder="1" applyAlignment="1">
      <alignment horizontal="center" vertical="center" wrapText="1"/>
    </xf>
    <xf numFmtId="175" fontId="13" fillId="0" borderId="10"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13" fillId="0" borderId="1" xfId="0" applyFont="1" applyBorder="1" applyAlignment="1">
      <alignment horizontal="left" vertical="center" wrapText="1"/>
    </xf>
    <xf numFmtId="175" fontId="15"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20" fillId="0" borderId="2" xfId="0" applyFont="1" applyBorder="1" applyAlignment="1">
      <alignment horizontal="center" vertical="center" wrapText="1"/>
    </xf>
    <xf numFmtId="0" fontId="20" fillId="0" borderId="2" xfId="0" applyFont="1" applyBorder="1" applyAlignment="1">
      <alignment horizontal="center" vertical="center"/>
    </xf>
  </cellXfs>
  <cellStyles count="230">
    <cellStyle name="          _x000d__x000a_shell=progman.exe_x000d__x000a_m" xfId="55"/>
    <cellStyle name="??" xfId="56"/>
    <cellStyle name="?? [0.00]_PRODUCT DETAIL Q1" xfId="57"/>
    <cellStyle name="?? [0]" xfId="58"/>
    <cellStyle name="???? [0.00]_PRODUCT DETAIL Q1" xfId="59"/>
    <cellStyle name="????_PRODUCT DETAIL Q1" xfId="60"/>
    <cellStyle name="???[0]_?? DI" xfId="61"/>
    <cellStyle name="???_?? DI" xfId="62"/>
    <cellStyle name="??_(????)??????" xfId="63"/>
    <cellStyle name="•W€_STDFOR" xfId="64"/>
    <cellStyle name="W_STDFOR" xfId="65"/>
    <cellStyle name="0" xfId="66"/>
    <cellStyle name="1" xfId="67"/>
    <cellStyle name="¹éºÐÀ²_±âÅ¸" xfId="68"/>
    <cellStyle name="2" xfId="69"/>
    <cellStyle name="20% - Accent1 2" xfId="70"/>
    <cellStyle name="20% - Accent2 2" xfId="71"/>
    <cellStyle name="20% - Accent3 2" xfId="72"/>
    <cellStyle name="20% - Accent4 2" xfId="73"/>
    <cellStyle name="20% - Accent5 2" xfId="74"/>
    <cellStyle name="20% - Accent6 2" xfId="75"/>
    <cellStyle name="3" xfId="76"/>
    <cellStyle name="4" xfId="77"/>
    <cellStyle name="40% - Accent1 2" xfId="78"/>
    <cellStyle name="40% - Accent2 2" xfId="79"/>
    <cellStyle name="40% - Accent3 2" xfId="80"/>
    <cellStyle name="40% - Accent4 2" xfId="81"/>
    <cellStyle name="40% - Accent5 2" xfId="82"/>
    <cellStyle name="40% - Accent6 2" xfId="83"/>
    <cellStyle name="6" xfId="84"/>
    <cellStyle name="60% - Accent1 2" xfId="85"/>
    <cellStyle name="60% - Accent2 2" xfId="86"/>
    <cellStyle name="60% - Accent3 2" xfId="87"/>
    <cellStyle name="60% - Accent4 2" xfId="88"/>
    <cellStyle name="60% - Accent5 2" xfId="89"/>
    <cellStyle name="60% - Accent6 2" xfId="90"/>
    <cellStyle name="Accent1 2" xfId="91"/>
    <cellStyle name="Accent2 2" xfId="92"/>
    <cellStyle name="Accent3 2" xfId="93"/>
    <cellStyle name="Accent4 2" xfId="94"/>
    <cellStyle name="Accent5 2" xfId="95"/>
    <cellStyle name="Accent6 2" xfId="96"/>
    <cellStyle name="ÅëÈ­ [0]_¿ì¹°Åë" xfId="97"/>
    <cellStyle name="AeE­ [0]_INQUIRY ¿µ¾÷AßAø " xfId="98"/>
    <cellStyle name="ÅëÈ­ [0]_Sheet1" xfId="99"/>
    <cellStyle name="ÅëÈ­_¿ì¹°Åë" xfId="100"/>
    <cellStyle name="AeE­_INQUIRY ¿µ¾÷AßAø " xfId="101"/>
    <cellStyle name="ÅëÈ­_Sheet1" xfId="102"/>
    <cellStyle name="args.style" xfId="103"/>
    <cellStyle name="ÄÞ¸¶ [0]_¿ì¹°Åë" xfId="104"/>
    <cellStyle name="AÞ¸¶ [0]_INQUIRY ¿?¾÷AßAø " xfId="105"/>
    <cellStyle name="ÄÞ¸¶ [0]_L601CPT" xfId="106"/>
    <cellStyle name="ÄÞ¸¶_¿ì¹°Åë" xfId="107"/>
    <cellStyle name="AÞ¸¶_INQUIRY ¿?¾÷AßAø " xfId="108"/>
    <cellStyle name="ÄÞ¸¶_L601CPT" xfId="109"/>
    <cellStyle name="Bad 2" xfId="110"/>
    <cellStyle name="Body" xfId="111"/>
    <cellStyle name="C?AØ_¿?¾÷CoE² " xfId="112"/>
    <cellStyle name="Ç¥ÁØ_#2(M17)_1" xfId="113"/>
    <cellStyle name="C￥AØ_¿μ¾÷CoE² " xfId="114"/>
    <cellStyle name="Ç¥ÁØ_±³°¢¼ö·®" xfId="115"/>
    <cellStyle name="C￥AØ_≫c¾÷ºIº° AN°e " xfId="116"/>
    <cellStyle name="Calc Currency (0)" xfId="117"/>
    <cellStyle name="Calculation 2" xfId="118"/>
    <cellStyle name="category" xfId="119"/>
    <cellStyle name="Comma" xfId="43" builtinId="3"/>
    <cellStyle name="Comma  - Style1" xfId="121"/>
    <cellStyle name="Comma  - Style2" xfId="122"/>
    <cellStyle name="Comma  - Style3" xfId="123"/>
    <cellStyle name="Comma  - Style4" xfId="124"/>
    <cellStyle name="Comma  - Style5" xfId="125"/>
    <cellStyle name="Comma  - Style6" xfId="126"/>
    <cellStyle name="Comma  - Style7" xfId="127"/>
    <cellStyle name="Comma  - Style8" xfId="128"/>
    <cellStyle name="Comma 2" xfId="48"/>
    <cellStyle name="Comma 3" xfId="54"/>
    <cellStyle name="Comma0" xfId="129"/>
    <cellStyle name="Copied" xfId="130"/>
    <cellStyle name="Currency0" xfId="131"/>
    <cellStyle name="Check Cell 2" xfId="120"/>
    <cellStyle name="D1" xfId="132"/>
    <cellStyle name="Date" xfId="133"/>
    <cellStyle name="Dezimal [0]_NEGS" xfId="134"/>
    <cellStyle name="Dezimal_NEGS" xfId="135"/>
    <cellStyle name="e" xfId="136"/>
    <cellStyle name="Entered" xfId="137"/>
    <cellStyle name="Explanatory Text 2" xfId="138"/>
    <cellStyle name="f" xfId="139"/>
    <cellStyle name="Fixed" xfId="140"/>
    <cellStyle name="Good 2" xfId="141"/>
    <cellStyle name="Grey" xfId="142"/>
    <cellStyle name="Head 1" xfId="143"/>
    <cellStyle name="HEADER" xfId="144"/>
    <cellStyle name="Header1" xfId="145"/>
    <cellStyle name="Header2" xfId="146"/>
    <cellStyle name="Heading 1 2" xfId="147"/>
    <cellStyle name="Heading 2 2" xfId="148"/>
    <cellStyle name="Heading 3 2" xfId="149"/>
    <cellStyle name="Heading 4 2" xfId="150"/>
    <cellStyle name="Heading1" xfId="151"/>
    <cellStyle name="Heading2" xfId="152"/>
    <cellStyle name="HEADINGS" xfId="153"/>
    <cellStyle name="HEADINGSTOP" xfId="154"/>
    <cellStyle name="Input [yellow]" xfId="155"/>
    <cellStyle name="Input 2" xfId="156"/>
    <cellStyle name="Linked Cell 2" xfId="157"/>
    <cellStyle name="Millares [0]_Well Timing" xfId="158"/>
    <cellStyle name="Millares_Well Timing" xfId="159"/>
    <cellStyle name="Model" xfId="160"/>
    <cellStyle name="moi" xfId="161"/>
    <cellStyle name="Moneda [0]_Well Timing" xfId="162"/>
    <cellStyle name="Moneda_Well Timing" xfId="163"/>
    <cellStyle name="n" xfId="164"/>
    <cellStyle name="Neutral 2" xfId="165"/>
    <cellStyle name="Normal" xfId="0" builtinId="0"/>
    <cellStyle name="Normal - Style1" xfId="166"/>
    <cellStyle name="Normal 100" xfId="38"/>
    <cellStyle name="Normal 101" xfId="39"/>
    <cellStyle name="Normal 102" xfId="40"/>
    <cellStyle name="Normal 103" xfId="41"/>
    <cellStyle name="Normal 104" xfId="42"/>
    <cellStyle name="Normal 2" xfId="49"/>
    <cellStyle name="Normal 2 10" xfId="47"/>
    <cellStyle name="Normal 2 11" xfId="46"/>
    <cellStyle name="Normal 2 2" xfId="51"/>
    <cellStyle name="Normal 24" xfId="1"/>
    <cellStyle name="Normal 25" xfId="2"/>
    <cellStyle name="Normal 26" xfId="3"/>
    <cellStyle name="Normal 28" xfId="4"/>
    <cellStyle name="Normal 3" xfId="50"/>
    <cellStyle name="Normal 30" xfId="5"/>
    <cellStyle name="Normal 33" xfId="6"/>
    <cellStyle name="Normal 34" xfId="7"/>
    <cellStyle name="Normal 36" xfId="8"/>
    <cellStyle name="Normal 38" xfId="9"/>
    <cellStyle name="Normal 4" xfId="53"/>
    <cellStyle name="Normal 40" xfId="10"/>
    <cellStyle name="Normal 43" xfId="11"/>
    <cellStyle name="Normal 45" xfId="12"/>
    <cellStyle name="Normal 47" xfId="13"/>
    <cellStyle name="Normal 49" xfId="14"/>
    <cellStyle name="Normal 70" xfId="15"/>
    <cellStyle name="Normal 72" xfId="16"/>
    <cellStyle name="Normal 79" xfId="17"/>
    <cellStyle name="Normal 80" xfId="18"/>
    <cellStyle name="Normal 81" xfId="19"/>
    <cellStyle name="Normal 82" xfId="20"/>
    <cellStyle name="Normal 83" xfId="21"/>
    <cellStyle name="Normal 84" xfId="22"/>
    <cellStyle name="Normal 85" xfId="23"/>
    <cellStyle name="Normal 86" xfId="24"/>
    <cellStyle name="Normal 87" xfId="25"/>
    <cellStyle name="Normal 88" xfId="26"/>
    <cellStyle name="Normal 89" xfId="33"/>
    <cellStyle name="Normal 90" xfId="34"/>
    <cellStyle name="Normal 91" xfId="35"/>
    <cellStyle name="Normal 92" xfId="36"/>
    <cellStyle name="Normal 93" xfId="37"/>
    <cellStyle name="Normal 94" xfId="27"/>
    <cellStyle name="Normal 95" xfId="28"/>
    <cellStyle name="Normal 96" xfId="29"/>
    <cellStyle name="Normal 97" xfId="30"/>
    <cellStyle name="Normal 98" xfId="31"/>
    <cellStyle name="Normal 99" xfId="32"/>
    <cellStyle name="Normal_DS DN-HTX dang hoat dong 2017 (HTX15, DN30)" xfId="52"/>
    <cellStyle name="Normal_Sheet2" xfId="44"/>
    <cellStyle name="Note 2" xfId="167"/>
    <cellStyle name="Œ…‹æØ‚è [0.00]_laroux" xfId="168"/>
    <cellStyle name="Œ…‹æØ‚è_laroux" xfId="169"/>
    <cellStyle name="oft Excel]_x000d__x000a_Comment=The open=/f lines load custom functions into the Paste Function list._x000d__x000a_Maximized=2_x000d__x000a_Basics=1_x000d__x000a_A" xfId="170"/>
    <cellStyle name="oft Excel]_x000d__x000a_Comment=The open=/f lines load custom functions into the Paste Function list._x000d__x000a_Maximized=3_x000d__x000a_Basics=1_x000d__x000a_A" xfId="171"/>
    <cellStyle name="omma [0]_Mktg Prog" xfId="172"/>
    <cellStyle name="ormal_Sheet1_1" xfId="173"/>
    <cellStyle name="Output 2" xfId="174"/>
    <cellStyle name="per.style" xfId="175"/>
    <cellStyle name="Percent" xfId="45" builtinId="5"/>
    <cellStyle name="Percent [2]" xfId="176"/>
    <cellStyle name="regstoresfromspecstores" xfId="177"/>
    <cellStyle name="RevList" xfId="178"/>
    <cellStyle name="s]_x000d__x000a_spooler=yes_x000d__x000a_load=_x000d__x000a_Beep=yes_x000d__x000a_NullPort=None_x000d__x000a_BorderWidth=3_x000d__x000a_CursorBlinkRate=1200_x000d__x000a_DoubleClickSpeed=452_x000d__x000a_Programs=co" xfId="179"/>
    <cellStyle name="SHADEDSTORES" xfId="180"/>
    <cellStyle name="specstores" xfId="181"/>
    <cellStyle name="Standard_NEGS" xfId="182"/>
    <cellStyle name="Style 1" xfId="183"/>
    <cellStyle name="style_1" xfId="184"/>
    <cellStyle name="subhead" xfId="185"/>
    <cellStyle name="Subtotal" xfId="186"/>
    <cellStyle name="T" xfId="187"/>
    <cellStyle name="T_Book1" xfId="188"/>
    <cellStyle name="T_Book1_1" xfId="189"/>
    <cellStyle name="T_Book1_2" xfId="190"/>
    <cellStyle name="T_Book1_Book1" xfId="191"/>
    <cellStyle name="T_QT di chuyen ca phe" xfId="192"/>
    <cellStyle name="Title 2" xfId="196"/>
    <cellStyle name="Total 2" xfId="197"/>
    <cellStyle name="th" xfId="193"/>
    <cellStyle name="þ_x001d_ð·_x000c_æþ'_x000d_ßþU_x0001_Ø_x0005_ü_x0014__x0007__x0001__x0001_" xfId="194"/>
    <cellStyle name="þ_x001d_ðÇ%Uý—&amp;Hý9_x0008_Ÿ s_x000a__x0007__x0001__x0001_" xfId="229"/>
    <cellStyle name="þ_x001d_ðÇ%Uý—&amp;Hý9_x0008_Ÿ_x0009_s_x000a__x0007__x0001__x0001_" xfId="195"/>
    <cellStyle name="viet" xfId="198"/>
    <cellStyle name="viet2" xfId="199"/>
    <cellStyle name="Vn Time 13" xfId="200"/>
    <cellStyle name="Vn Time 14" xfId="201"/>
    <cellStyle name="vntxt1" xfId="204"/>
    <cellStyle name="vntxt2" xfId="205"/>
    <cellStyle name="vnhead1" xfId="202"/>
    <cellStyle name="vnhead3" xfId="203"/>
    <cellStyle name="Währung [0]_UXO VII" xfId="206"/>
    <cellStyle name="Währung_UXO VII" xfId="207"/>
    <cellStyle name="Warning Text 2" xfId="208"/>
    <cellStyle name=" [0.00]_ Att. 1- Cover" xfId="209"/>
    <cellStyle name="_ Att. 1- Cover" xfId="210"/>
    <cellStyle name="?_ Att. 1- Cover" xfId="211"/>
    <cellStyle name="똿뗦먛귟 [0.00]_PRODUCT DETAIL Q1" xfId="212"/>
    <cellStyle name="똿뗦먛귟_PRODUCT DETAIL Q1" xfId="213"/>
    <cellStyle name="믅됞 [0.00]_PRODUCT DETAIL Q1" xfId="214"/>
    <cellStyle name="믅됞_PRODUCT DETAIL Q1" xfId="215"/>
    <cellStyle name="백분율_95" xfId="216"/>
    <cellStyle name="뷭?_BOOKSHIP" xfId="217"/>
    <cellStyle name="콤마 [0]_ 비목별 월별기술 " xfId="218"/>
    <cellStyle name="콤마_ 비목별 월별기술 " xfId="219"/>
    <cellStyle name="통화 [0]_1202" xfId="220"/>
    <cellStyle name="통화_1202" xfId="221"/>
    <cellStyle name="표준_(정보부문)월별인원계획" xfId="222"/>
    <cellStyle name="一般_00Q3902REV.1" xfId="223"/>
    <cellStyle name="千分位[0]_00Q3902REV.1" xfId="224"/>
    <cellStyle name="千分位_00Q3902REV.1" xfId="225"/>
    <cellStyle name="貨幣 [0]_00Q3902REV.1" xfId="226"/>
    <cellStyle name="貨幣[0]_BRE" xfId="227"/>
    <cellStyle name="貨幣_00Q3902REV.1" xfId="2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5"/>
  <sheetViews>
    <sheetView tabSelected="1" zoomScale="85" zoomScaleNormal="85" workbookViewId="0">
      <selection activeCell="B8" sqref="B8"/>
    </sheetView>
  </sheetViews>
  <sheetFormatPr defaultColWidth="9" defaultRowHeight="16.5"/>
  <cols>
    <col min="1" max="1" width="9.5" style="302" customWidth="1"/>
    <col min="2" max="2" width="36.625" style="296" customWidth="1"/>
    <col min="3" max="3" width="10.75" style="302" customWidth="1"/>
    <col min="4" max="4" width="12.875" style="296" customWidth="1"/>
    <col min="5" max="5" width="12.5" style="303" customWidth="1"/>
    <col min="6" max="6" width="16.75" style="303" customWidth="1"/>
    <col min="7" max="7" width="11.5" style="303" customWidth="1"/>
    <col min="8" max="8" width="14.875" style="296" customWidth="1"/>
    <col min="9" max="9" width="9" style="296"/>
    <col min="10" max="10" width="12.875" style="296" customWidth="1"/>
    <col min="11" max="16384" width="9" style="296"/>
  </cols>
  <sheetData>
    <row r="1" spans="1:9" ht="43.5" customHeight="1">
      <c r="A1" s="327" t="s">
        <v>299</v>
      </c>
      <c r="B1" s="327"/>
      <c r="C1" s="327"/>
      <c r="D1" s="327"/>
      <c r="E1" s="327"/>
      <c r="F1" s="327"/>
      <c r="G1" s="327"/>
      <c r="H1" s="327"/>
    </row>
    <row r="2" spans="1:9" ht="35.25" customHeight="1">
      <c r="A2" s="328" t="s">
        <v>1343</v>
      </c>
      <c r="B2" s="328"/>
      <c r="C2" s="328"/>
      <c r="D2" s="328"/>
      <c r="E2" s="328"/>
      <c r="F2" s="328"/>
      <c r="G2" s="328"/>
      <c r="H2" s="328"/>
    </row>
    <row r="3" spans="1:9" ht="27.6" customHeight="1">
      <c r="A3" s="331" t="s">
        <v>0</v>
      </c>
      <c r="B3" s="331" t="s">
        <v>1</v>
      </c>
      <c r="C3" s="331" t="s">
        <v>2</v>
      </c>
      <c r="D3" s="332" t="s">
        <v>1319</v>
      </c>
      <c r="E3" s="333" t="s">
        <v>300</v>
      </c>
      <c r="F3" s="331" t="s">
        <v>38</v>
      </c>
      <c r="G3" s="331"/>
      <c r="H3" s="329" t="s">
        <v>960</v>
      </c>
    </row>
    <row r="4" spans="1:9" ht="36.75" customHeight="1">
      <c r="A4" s="331"/>
      <c r="B4" s="331"/>
      <c r="C4" s="331"/>
      <c r="D4" s="332"/>
      <c r="E4" s="333"/>
      <c r="F4" s="304" t="s">
        <v>295</v>
      </c>
      <c r="G4" s="304" t="s">
        <v>296</v>
      </c>
      <c r="H4" s="330"/>
    </row>
    <row r="5" spans="1:9" s="297" customFormat="1" ht="27.75" customHeight="1">
      <c r="A5" s="305">
        <v>1</v>
      </c>
      <c r="B5" s="306" t="s">
        <v>10</v>
      </c>
      <c r="C5" s="305" t="s">
        <v>27</v>
      </c>
      <c r="D5" s="306">
        <v>3500</v>
      </c>
      <c r="E5" s="307">
        <v>4270</v>
      </c>
      <c r="F5" s="307">
        <v>1772</v>
      </c>
      <c r="G5" s="307">
        <f>+E5-F5</f>
        <v>2498</v>
      </c>
      <c r="H5" s="308">
        <f>+E5/D5*100</f>
        <v>122</v>
      </c>
    </row>
    <row r="6" spans="1:9" ht="27.75" customHeight="1">
      <c r="A6" s="309"/>
      <c r="B6" s="310" t="s">
        <v>49</v>
      </c>
      <c r="C6" s="309" t="s">
        <v>27</v>
      </c>
      <c r="D6" s="310">
        <v>1750</v>
      </c>
      <c r="E6" s="311">
        <v>1786</v>
      </c>
      <c r="F6" s="311">
        <v>898</v>
      </c>
      <c r="G6" s="311">
        <f>+E6-F6</f>
        <v>888</v>
      </c>
      <c r="H6" s="308">
        <f t="shared" ref="H6:H45" si="0">+E6/D6*100</f>
        <v>102.05714285714285</v>
      </c>
    </row>
    <row r="7" spans="1:9" s="297" customFormat="1" ht="27.75" customHeight="1">
      <c r="A7" s="305">
        <v>2</v>
      </c>
      <c r="B7" s="306" t="s">
        <v>11</v>
      </c>
      <c r="C7" s="305" t="s">
        <v>27</v>
      </c>
      <c r="D7" s="306">
        <v>10000</v>
      </c>
      <c r="E7" s="307">
        <v>10765</v>
      </c>
      <c r="F7" s="307"/>
      <c r="G7" s="307"/>
      <c r="H7" s="308">
        <f t="shared" si="0"/>
        <v>107.65</v>
      </c>
    </row>
    <row r="8" spans="1:9" ht="27.75" customHeight="1">
      <c r="A8" s="309" t="s">
        <v>35</v>
      </c>
      <c r="B8" s="310" t="s">
        <v>12</v>
      </c>
      <c r="C8" s="309" t="s">
        <v>27</v>
      </c>
      <c r="D8" s="310">
        <v>2400</v>
      </c>
      <c r="E8" s="311">
        <v>2586</v>
      </c>
      <c r="F8" s="311">
        <v>2381.42</v>
      </c>
      <c r="G8" s="311">
        <f>+E8-F8</f>
        <v>204.57999999999993</v>
      </c>
      <c r="H8" s="308">
        <f t="shared" si="0"/>
        <v>107.74999999999999</v>
      </c>
      <c r="I8" s="298"/>
    </row>
    <row r="9" spans="1:9" s="297" customFormat="1" ht="27.75" customHeight="1">
      <c r="A9" s="305">
        <v>3</v>
      </c>
      <c r="B9" s="306" t="s">
        <v>13</v>
      </c>
      <c r="C9" s="305" t="s">
        <v>27</v>
      </c>
      <c r="D9" s="306"/>
      <c r="E9" s="312"/>
      <c r="F9" s="307"/>
      <c r="G9" s="307"/>
      <c r="H9" s="308"/>
    </row>
    <row r="10" spans="1:9" ht="27.75" customHeight="1">
      <c r="A10" s="309" t="s">
        <v>35</v>
      </c>
      <c r="B10" s="310" t="s">
        <v>14</v>
      </c>
      <c r="C10" s="309" t="s">
        <v>27</v>
      </c>
      <c r="D10" s="310"/>
      <c r="E10" s="311">
        <v>133</v>
      </c>
      <c r="F10" s="311">
        <v>103</v>
      </c>
      <c r="G10" s="311">
        <v>30</v>
      </c>
      <c r="H10" s="308"/>
    </row>
    <row r="11" spans="1:9" ht="27.75" customHeight="1">
      <c r="A11" s="309" t="s">
        <v>35</v>
      </c>
      <c r="B11" s="310" t="s">
        <v>37</v>
      </c>
      <c r="C11" s="309" t="s">
        <v>28</v>
      </c>
      <c r="D11" s="310"/>
      <c r="E11" s="311">
        <v>12065</v>
      </c>
      <c r="F11" s="311">
        <v>12065</v>
      </c>
      <c r="G11" s="311"/>
      <c r="H11" s="308"/>
    </row>
    <row r="12" spans="1:9" s="297" customFormat="1" ht="27.75" customHeight="1">
      <c r="A12" s="305">
        <v>4</v>
      </c>
      <c r="B12" s="306" t="s">
        <v>15</v>
      </c>
      <c r="C12" s="305" t="s">
        <v>27</v>
      </c>
      <c r="D12" s="313">
        <v>12995</v>
      </c>
      <c r="E12" s="304">
        <v>12933</v>
      </c>
      <c r="F12" s="304"/>
      <c r="G12" s="304">
        <v>12933</v>
      </c>
      <c r="H12" s="308">
        <f t="shared" si="0"/>
        <v>99.522893420546367</v>
      </c>
    </row>
    <row r="13" spans="1:9" s="297" customFormat="1" ht="27.75" customHeight="1">
      <c r="A13" s="309" t="s">
        <v>35</v>
      </c>
      <c r="B13" s="310" t="s">
        <v>46</v>
      </c>
      <c r="C13" s="309" t="s">
        <v>27</v>
      </c>
      <c r="D13" s="314"/>
      <c r="E13" s="315">
        <v>12000</v>
      </c>
      <c r="F13" s="315"/>
      <c r="G13" s="315">
        <v>12000</v>
      </c>
      <c r="H13" s="308"/>
    </row>
    <row r="14" spans="1:9" ht="27.75" customHeight="1">
      <c r="A14" s="309" t="s">
        <v>35</v>
      </c>
      <c r="B14" s="310" t="s">
        <v>47</v>
      </c>
      <c r="C14" s="309" t="s">
        <v>48</v>
      </c>
      <c r="D14" s="314">
        <v>11000</v>
      </c>
      <c r="E14" s="315">
        <v>10800</v>
      </c>
      <c r="F14" s="315"/>
      <c r="G14" s="315"/>
      <c r="H14" s="308">
        <f t="shared" si="0"/>
        <v>98.181818181818187</v>
      </c>
    </row>
    <row r="15" spans="1:9" s="297" customFormat="1" ht="27.75" customHeight="1">
      <c r="A15" s="305">
        <v>5</v>
      </c>
      <c r="B15" s="306" t="s">
        <v>16</v>
      </c>
      <c r="C15" s="305" t="s">
        <v>27</v>
      </c>
      <c r="D15" s="313">
        <v>8000</v>
      </c>
      <c r="E15" s="304">
        <v>7421</v>
      </c>
      <c r="F15" s="304"/>
      <c r="G15" s="304">
        <v>7421</v>
      </c>
      <c r="H15" s="308">
        <f t="shared" si="0"/>
        <v>92.762500000000003</v>
      </c>
    </row>
    <row r="16" spans="1:9" ht="27.75" customHeight="1">
      <c r="A16" s="309" t="s">
        <v>35</v>
      </c>
      <c r="B16" s="310" t="s">
        <v>12</v>
      </c>
      <c r="C16" s="309" t="s">
        <v>27</v>
      </c>
      <c r="D16" s="314">
        <v>4000</v>
      </c>
      <c r="E16" s="315">
        <v>3686</v>
      </c>
      <c r="F16" s="315"/>
      <c r="G16" s="315">
        <v>3686</v>
      </c>
      <c r="H16" s="308">
        <f t="shared" si="0"/>
        <v>92.15</v>
      </c>
    </row>
    <row r="17" spans="1:9" s="297" customFormat="1" ht="27.75" customHeight="1">
      <c r="A17" s="305">
        <v>6</v>
      </c>
      <c r="B17" s="306" t="s">
        <v>17</v>
      </c>
      <c r="C17" s="305" t="s">
        <v>27</v>
      </c>
      <c r="D17" s="306">
        <v>6800</v>
      </c>
      <c r="E17" s="307">
        <v>4502</v>
      </c>
      <c r="F17" s="307"/>
      <c r="G17" s="307"/>
      <c r="H17" s="308">
        <f t="shared" si="0"/>
        <v>66.205882352941188</v>
      </c>
    </row>
    <row r="18" spans="1:9" ht="27.75" customHeight="1">
      <c r="A18" s="309" t="s">
        <v>35</v>
      </c>
      <c r="B18" s="310" t="s">
        <v>12</v>
      </c>
      <c r="C18" s="309" t="s">
        <v>27</v>
      </c>
      <c r="D18" s="310">
        <v>1600</v>
      </c>
      <c r="E18" s="311">
        <v>2006</v>
      </c>
      <c r="F18" s="316">
        <f>E18-G18</f>
        <v>1244.25</v>
      </c>
      <c r="G18" s="317">
        <v>761.75</v>
      </c>
      <c r="H18" s="308">
        <f t="shared" si="0"/>
        <v>125.37499999999999</v>
      </c>
    </row>
    <row r="19" spans="1:9" s="297" customFormat="1" ht="27.75" customHeight="1">
      <c r="A19" s="305">
        <v>7</v>
      </c>
      <c r="B19" s="306" t="s">
        <v>982</v>
      </c>
      <c r="C19" s="305" t="s">
        <v>27</v>
      </c>
      <c r="D19" s="306"/>
      <c r="E19" s="312"/>
      <c r="F19" s="312"/>
      <c r="G19" s="306"/>
      <c r="H19" s="308"/>
    </row>
    <row r="20" spans="1:9" s="300" customFormat="1" ht="27.75" customHeight="1">
      <c r="A20" s="318" t="s">
        <v>51</v>
      </c>
      <c r="B20" s="319" t="s">
        <v>52</v>
      </c>
      <c r="C20" s="318" t="s">
        <v>27</v>
      </c>
      <c r="D20" s="319">
        <v>200</v>
      </c>
      <c r="E20" s="320">
        <v>158</v>
      </c>
      <c r="F20" s="320"/>
      <c r="G20" s="320">
        <v>158</v>
      </c>
      <c r="H20" s="308">
        <f t="shared" si="0"/>
        <v>79</v>
      </c>
      <c r="I20" s="299"/>
    </row>
    <row r="21" spans="1:9" s="301" customFormat="1" ht="27.75" customHeight="1">
      <c r="A21" s="318" t="s">
        <v>54</v>
      </c>
      <c r="B21" s="319" t="s">
        <v>53</v>
      </c>
      <c r="C21" s="318" t="s">
        <v>27</v>
      </c>
      <c r="D21" s="319"/>
      <c r="E21" s="320">
        <v>242.6</v>
      </c>
      <c r="F21" s="320"/>
      <c r="G21" s="320">
        <v>242.6</v>
      </c>
      <c r="H21" s="308"/>
    </row>
    <row r="22" spans="1:9" s="297" customFormat="1" ht="27.75" customHeight="1">
      <c r="A22" s="305">
        <v>8</v>
      </c>
      <c r="B22" s="306" t="s">
        <v>1274</v>
      </c>
      <c r="C22" s="305" t="s">
        <v>29</v>
      </c>
      <c r="D22" s="306">
        <v>70000</v>
      </c>
      <c r="E22" s="307">
        <v>79000</v>
      </c>
      <c r="F22" s="307">
        <v>58906</v>
      </c>
      <c r="G22" s="307">
        <v>20094</v>
      </c>
      <c r="H22" s="308">
        <f t="shared" si="0"/>
        <v>112.85714285714286</v>
      </c>
    </row>
    <row r="23" spans="1:9" s="297" customFormat="1" ht="27.75" customHeight="1">
      <c r="A23" s="305">
        <v>9</v>
      </c>
      <c r="B23" s="306" t="s">
        <v>1276</v>
      </c>
      <c r="C23" s="305" t="s">
        <v>43</v>
      </c>
      <c r="D23" s="306">
        <f>+D24+D25</f>
        <v>64</v>
      </c>
      <c r="E23" s="306">
        <f t="shared" ref="E23:F23" si="1">+E24+E25</f>
        <v>274</v>
      </c>
      <c r="F23" s="306">
        <f t="shared" si="1"/>
        <v>206</v>
      </c>
      <c r="G23" s="306">
        <v>68</v>
      </c>
      <c r="H23" s="308">
        <f t="shared" si="0"/>
        <v>428.125</v>
      </c>
    </row>
    <row r="24" spans="1:9" s="300" customFormat="1" ht="27.75" customHeight="1">
      <c r="A24" s="318" t="s">
        <v>962</v>
      </c>
      <c r="B24" s="319" t="s">
        <v>44</v>
      </c>
      <c r="C24" s="318" t="s">
        <v>43</v>
      </c>
      <c r="D24" s="314">
        <v>36</v>
      </c>
      <c r="E24" s="315">
        <v>246</v>
      </c>
      <c r="F24" s="315">
        <v>194</v>
      </c>
      <c r="G24" s="315">
        <v>52</v>
      </c>
      <c r="H24" s="308">
        <f t="shared" si="0"/>
        <v>683.33333333333326</v>
      </c>
    </row>
    <row r="25" spans="1:9" s="300" customFormat="1" ht="42" customHeight="1">
      <c r="A25" s="318" t="s">
        <v>963</v>
      </c>
      <c r="B25" s="319" t="s">
        <v>307</v>
      </c>
      <c r="C25" s="318" t="s">
        <v>43</v>
      </c>
      <c r="D25" s="314">
        <v>28</v>
      </c>
      <c r="E25" s="315">
        <v>28</v>
      </c>
      <c r="F25" s="315">
        <v>12</v>
      </c>
      <c r="G25" s="315">
        <v>16</v>
      </c>
      <c r="H25" s="308">
        <f t="shared" si="0"/>
        <v>100</v>
      </c>
    </row>
    <row r="26" spans="1:9" s="297" customFormat="1" ht="27.75" customHeight="1">
      <c r="A26" s="305">
        <v>10</v>
      </c>
      <c r="B26" s="306" t="s">
        <v>975</v>
      </c>
      <c r="C26" s="305" t="s">
        <v>30</v>
      </c>
      <c r="D26" s="314">
        <v>70400</v>
      </c>
      <c r="E26" s="315">
        <v>67344</v>
      </c>
      <c r="F26" s="315">
        <v>50874</v>
      </c>
      <c r="G26" s="315">
        <v>16470</v>
      </c>
      <c r="H26" s="308">
        <f t="shared" si="0"/>
        <v>95.659090909090907</v>
      </c>
    </row>
    <row r="27" spans="1:9" s="297" customFormat="1" ht="27.75" customHeight="1">
      <c r="A27" s="305">
        <v>11</v>
      </c>
      <c r="B27" s="306" t="s">
        <v>976</v>
      </c>
      <c r="C27" s="305"/>
      <c r="D27" s="306"/>
      <c r="E27" s="307"/>
      <c r="F27" s="307"/>
      <c r="G27" s="307"/>
      <c r="H27" s="308"/>
    </row>
    <row r="28" spans="1:9" s="300" customFormat="1" ht="27.75" customHeight="1">
      <c r="A28" s="318" t="s">
        <v>965</v>
      </c>
      <c r="B28" s="319" t="s">
        <v>977</v>
      </c>
      <c r="C28" s="318" t="s">
        <v>31</v>
      </c>
      <c r="D28" s="314">
        <v>12300</v>
      </c>
      <c r="E28" s="315">
        <v>18516</v>
      </c>
      <c r="F28" s="315">
        <v>1940</v>
      </c>
      <c r="G28" s="315">
        <v>16576</v>
      </c>
      <c r="H28" s="308">
        <f t="shared" si="0"/>
        <v>150.53658536585365</v>
      </c>
    </row>
    <row r="29" spans="1:9" s="300" customFormat="1" ht="27.75" customHeight="1">
      <c r="A29" s="318" t="s">
        <v>966</v>
      </c>
      <c r="B29" s="319" t="s">
        <v>978</v>
      </c>
      <c r="C29" s="318" t="s">
        <v>30</v>
      </c>
      <c r="D29" s="314">
        <v>52800</v>
      </c>
      <c r="E29" s="315">
        <v>2441</v>
      </c>
      <c r="F29" s="315">
        <v>1721</v>
      </c>
      <c r="G29" s="315">
        <v>720</v>
      </c>
      <c r="H29" s="308">
        <f t="shared" si="0"/>
        <v>4.6231060606060606</v>
      </c>
    </row>
    <row r="30" spans="1:9" s="297" customFormat="1" ht="27.75" customHeight="1">
      <c r="A30" s="305">
        <v>12</v>
      </c>
      <c r="B30" s="306" t="s">
        <v>1281</v>
      </c>
      <c r="C30" s="305" t="s">
        <v>27</v>
      </c>
      <c r="D30" s="314">
        <v>164</v>
      </c>
      <c r="E30" s="315">
        <v>1114.0545999999999</v>
      </c>
      <c r="F30" s="315">
        <v>248.38460000000001</v>
      </c>
      <c r="G30" s="315">
        <v>865.67</v>
      </c>
      <c r="H30" s="308">
        <f t="shared" si="0"/>
        <v>679.30158536585361</v>
      </c>
    </row>
    <row r="31" spans="1:9" s="297" customFormat="1" ht="27.75" customHeight="1">
      <c r="A31" s="305">
        <v>13</v>
      </c>
      <c r="B31" s="306" t="s">
        <v>313</v>
      </c>
      <c r="C31" s="305" t="s">
        <v>32</v>
      </c>
      <c r="D31" s="306">
        <v>4380</v>
      </c>
      <c r="E31" s="307">
        <v>18000</v>
      </c>
      <c r="F31" s="307">
        <v>6773</v>
      </c>
      <c r="G31" s="307">
        <v>11227</v>
      </c>
      <c r="H31" s="308">
        <f t="shared" si="0"/>
        <v>410.95890410958907</v>
      </c>
    </row>
    <row r="32" spans="1:9" s="297" customFormat="1" ht="27.75" customHeight="1">
      <c r="A32" s="305">
        <v>14</v>
      </c>
      <c r="B32" s="306" t="s">
        <v>308</v>
      </c>
      <c r="C32" s="305" t="s">
        <v>31</v>
      </c>
      <c r="D32" s="306">
        <v>45000</v>
      </c>
      <c r="E32" s="307">
        <v>177084</v>
      </c>
      <c r="F32" s="307">
        <v>132837</v>
      </c>
      <c r="G32" s="307">
        <v>44247</v>
      </c>
      <c r="H32" s="308">
        <f t="shared" si="0"/>
        <v>393.52</v>
      </c>
    </row>
    <row r="33" spans="1:8" s="297" customFormat="1" ht="38.25" customHeight="1">
      <c r="A33" s="305">
        <v>15</v>
      </c>
      <c r="B33" s="306" t="s">
        <v>1318</v>
      </c>
      <c r="C33" s="305" t="s">
        <v>31</v>
      </c>
      <c r="D33" s="306">
        <v>18000</v>
      </c>
      <c r="E33" s="307">
        <v>46838</v>
      </c>
      <c r="F33" s="307"/>
      <c r="G33" s="307">
        <v>46838</v>
      </c>
      <c r="H33" s="308">
        <f t="shared" si="0"/>
        <v>260.21111111111111</v>
      </c>
    </row>
    <row r="34" spans="1:8" s="297" customFormat="1" ht="27.75" customHeight="1">
      <c r="A34" s="305">
        <v>16</v>
      </c>
      <c r="B34" s="306" t="s">
        <v>24</v>
      </c>
      <c r="C34" s="305" t="s">
        <v>294</v>
      </c>
      <c r="D34" s="313"/>
      <c r="E34" s="304">
        <v>280</v>
      </c>
      <c r="F34" s="304">
        <v>280</v>
      </c>
      <c r="G34" s="307"/>
      <c r="H34" s="308"/>
    </row>
    <row r="35" spans="1:8" ht="27.75" customHeight="1">
      <c r="A35" s="309" t="s">
        <v>35</v>
      </c>
      <c r="B35" s="310" t="s">
        <v>1277</v>
      </c>
      <c r="C35" s="309" t="s">
        <v>294</v>
      </c>
      <c r="D35" s="310"/>
      <c r="E35" s="311">
        <v>280</v>
      </c>
      <c r="F35" s="311">
        <v>280</v>
      </c>
      <c r="G35" s="311"/>
      <c r="H35" s="308"/>
    </row>
    <row r="36" spans="1:8" ht="27.75" customHeight="1">
      <c r="A36" s="309" t="s">
        <v>36</v>
      </c>
      <c r="B36" s="310" t="s">
        <v>1278</v>
      </c>
      <c r="C36" s="309" t="s">
        <v>294</v>
      </c>
      <c r="D36" s="310"/>
      <c r="E36" s="311">
        <v>263</v>
      </c>
      <c r="F36" s="311">
        <v>263</v>
      </c>
      <c r="G36" s="311"/>
      <c r="H36" s="308"/>
    </row>
    <row r="37" spans="1:8" ht="27.75" customHeight="1">
      <c r="A37" s="309" t="s">
        <v>35</v>
      </c>
      <c r="B37" s="310" t="s">
        <v>1279</v>
      </c>
      <c r="C37" s="309" t="s">
        <v>294</v>
      </c>
      <c r="D37" s="310"/>
      <c r="E37" s="311">
        <v>5</v>
      </c>
      <c r="F37" s="311">
        <v>5</v>
      </c>
      <c r="G37" s="311"/>
      <c r="H37" s="308"/>
    </row>
    <row r="38" spans="1:8" ht="27.75" customHeight="1">
      <c r="A38" s="309" t="s">
        <v>35</v>
      </c>
      <c r="B38" s="310" t="s">
        <v>25</v>
      </c>
      <c r="C38" s="309" t="s">
        <v>294</v>
      </c>
      <c r="D38" s="310"/>
      <c r="E38" s="311">
        <v>279</v>
      </c>
      <c r="F38" s="311">
        <v>279</v>
      </c>
      <c r="G38" s="311"/>
      <c r="H38" s="308"/>
    </row>
    <row r="39" spans="1:8" ht="27.75" customHeight="1">
      <c r="A39" s="309" t="s">
        <v>36</v>
      </c>
      <c r="B39" s="310" t="s">
        <v>1280</v>
      </c>
      <c r="C39" s="309" t="s">
        <v>34</v>
      </c>
      <c r="D39" s="310"/>
      <c r="E39" s="311">
        <v>5</v>
      </c>
      <c r="F39" s="311">
        <v>5</v>
      </c>
      <c r="G39" s="311"/>
      <c r="H39" s="308"/>
    </row>
    <row r="40" spans="1:8" s="297" customFormat="1" ht="35.25" customHeight="1">
      <c r="A40" s="305">
        <v>17</v>
      </c>
      <c r="B40" s="306" t="s">
        <v>983</v>
      </c>
      <c r="C40" s="305"/>
      <c r="D40" s="306"/>
      <c r="E40" s="307"/>
      <c r="F40" s="307"/>
      <c r="G40" s="307"/>
      <c r="H40" s="308"/>
    </row>
    <row r="41" spans="1:8" s="300" customFormat="1" ht="27.75" customHeight="1">
      <c r="A41" s="318" t="s">
        <v>967</v>
      </c>
      <c r="B41" s="319" t="s">
        <v>984</v>
      </c>
      <c r="C41" s="318" t="s">
        <v>27</v>
      </c>
      <c r="D41" s="319"/>
      <c r="E41" s="321">
        <v>60.79</v>
      </c>
      <c r="F41" s="321">
        <v>8.0500000000000007</v>
      </c>
      <c r="G41" s="321">
        <f>+E41-F41</f>
        <v>52.739999999999995</v>
      </c>
      <c r="H41" s="308"/>
    </row>
    <row r="42" spans="1:8" s="300" customFormat="1" ht="27.75" customHeight="1">
      <c r="A42" s="318" t="s">
        <v>968</v>
      </c>
      <c r="B42" s="319" t="s">
        <v>985</v>
      </c>
      <c r="C42" s="318" t="s">
        <v>27</v>
      </c>
      <c r="D42" s="319"/>
      <c r="E42" s="322"/>
      <c r="F42" s="322">
        <v>7</v>
      </c>
      <c r="G42" s="322"/>
      <c r="H42" s="308"/>
    </row>
    <row r="43" spans="1:8" s="297" customFormat="1" ht="27.75" customHeight="1">
      <c r="A43" s="305">
        <v>18</v>
      </c>
      <c r="B43" s="306" t="s">
        <v>1282</v>
      </c>
      <c r="C43" s="305" t="s">
        <v>294</v>
      </c>
      <c r="D43" s="306"/>
      <c r="E43" s="307">
        <v>15</v>
      </c>
      <c r="F43" s="307">
        <v>15</v>
      </c>
      <c r="G43" s="307"/>
      <c r="H43" s="308"/>
    </row>
    <row r="44" spans="1:8" s="297" customFormat="1" ht="37.5" customHeight="1">
      <c r="A44" s="305">
        <v>19</v>
      </c>
      <c r="B44" s="306" t="s">
        <v>1320</v>
      </c>
      <c r="C44" s="305" t="s">
        <v>1321</v>
      </c>
      <c r="D44" s="306">
        <v>3</v>
      </c>
      <c r="E44" s="307">
        <v>1</v>
      </c>
      <c r="F44" s="307"/>
      <c r="G44" s="307"/>
      <c r="H44" s="308">
        <f>+E44/D44*100</f>
        <v>33.333333333333329</v>
      </c>
    </row>
    <row r="45" spans="1:8" s="297" customFormat="1" ht="27.75" customHeight="1">
      <c r="A45" s="323">
        <v>20</v>
      </c>
      <c r="B45" s="324" t="s">
        <v>42</v>
      </c>
      <c r="C45" s="323" t="s">
        <v>43</v>
      </c>
      <c r="D45" s="325">
        <v>14</v>
      </c>
      <c r="E45" s="307">
        <v>41</v>
      </c>
      <c r="F45" s="326">
        <v>4</v>
      </c>
      <c r="G45" s="326">
        <v>37</v>
      </c>
      <c r="H45" s="308">
        <f t="shared" si="0"/>
        <v>292.85714285714283</v>
      </c>
    </row>
  </sheetData>
  <mergeCells count="9">
    <mergeCell ref="A1:H1"/>
    <mergeCell ref="A2:H2"/>
    <mergeCell ref="H3:H4"/>
    <mergeCell ref="A3:A4"/>
    <mergeCell ref="B3:B4"/>
    <mergeCell ref="C3:C4"/>
    <mergeCell ref="D3:D4"/>
    <mergeCell ref="E3:E4"/>
    <mergeCell ref="F3:G3"/>
  </mergeCells>
  <printOptions horizontalCentered="1"/>
  <pageMargins left="0.3" right="0.3" top="0.57999999999999996" bottom="0.3" header="0.3" footer="0.3"/>
  <pageSetup paperSize="9" orientation="landscape" r:id="rId1"/>
  <headerFooter>
    <oddHeader>Page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79"/>
  <sheetViews>
    <sheetView zoomScale="70" zoomScaleNormal="70" zoomScaleSheetLayoutView="80" zoomScalePageLayoutView="85" workbookViewId="0">
      <pane ySplit="5" topLeftCell="A36" activePane="bottomLeft" state="frozen"/>
      <selection pane="bottomLeft" activeCell="F48" sqref="F48"/>
    </sheetView>
  </sheetViews>
  <sheetFormatPr defaultColWidth="9" defaultRowHeight="16.5"/>
  <cols>
    <col min="1" max="1" width="9.375" style="4" customWidth="1"/>
    <col min="2" max="2" width="25.5" style="4" customWidth="1"/>
    <col min="3" max="3" width="10" style="4" customWidth="1"/>
    <col min="4" max="4" width="11.875" style="4" customWidth="1"/>
    <col min="5" max="5" width="13.5" style="3" customWidth="1"/>
    <col min="6" max="6" width="10.625" style="3" customWidth="1"/>
    <col min="7" max="7" width="10.875" style="3" customWidth="1"/>
    <col min="8" max="8" width="11.375" style="3" customWidth="1"/>
    <col min="9" max="9" width="9.5" style="3" customWidth="1"/>
    <col min="10" max="10" width="9.625" style="3" customWidth="1"/>
    <col min="11" max="11" width="10.625" style="3" customWidth="1"/>
    <col min="12" max="12" width="11.875" style="3" customWidth="1"/>
    <col min="13" max="13" width="11.375" style="4" customWidth="1"/>
    <col min="14" max="14" width="14" style="166" customWidth="1"/>
    <col min="15" max="15" width="43" style="162" customWidth="1"/>
    <col min="16" max="16" width="12.875" style="4" customWidth="1"/>
    <col min="17" max="18" width="9" style="4"/>
    <col min="19" max="19" width="11.125" style="4" bestFit="1" customWidth="1"/>
    <col min="20" max="16384" width="9" style="4"/>
  </cols>
  <sheetData>
    <row r="1" spans="1:15" ht="48.75" customHeight="1">
      <c r="A1" s="334" t="s">
        <v>924</v>
      </c>
      <c r="B1" s="334"/>
      <c r="C1" s="334"/>
      <c r="D1" s="334"/>
      <c r="E1" s="334"/>
      <c r="F1" s="334"/>
      <c r="G1" s="334"/>
      <c r="H1" s="334"/>
      <c r="I1" s="334"/>
      <c r="J1" s="334"/>
      <c r="K1" s="334"/>
      <c r="L1" s="334"/>
      <c r="M1" s="334"/>
      <c r="N1" s="334"/>
      <c r="O1" s="334"/>
    </row>
    <row r="2" spans="1:15" ht="39" customHeight="1">
      <c r="A2" s="335" t="str">
        <f>'B2 tổng'!A2:H2</f>
        <v>(Kèm theo Báo cáo số 134-BC/TU, ngày 02/3/2026 của Ban Chấp hành Đảng bộ tỉnh)
-----</v>
      </c>
      <c r="B2" s="335"/>
      <c r="C2" s="335"/>
      <c r="D2" s="335"/>
      <c r="E2" s="335"/>
      <c r="F2" s="335"/>
      <c r="G2" s="335"/>
      <c r="H2" s="335"/>
      <c r="I2" s="335"/>
      <c r="J2" s="335"/>
      <c r="K2" s="335"/>
      <c r="L2" s="335"/>
      <c r="M2" s="335"/>
      <c r="N2" s="335"/>
      <c r="O2" s="335"/>
    </row>
    <row r="3" spans="1:15" ht="13.15" customHeight="1"/>
    <row r="4" spans="1:15" ht="41.25" customHeight="1">
      <c r="A4" s="336" t="s">
        <v>0</v>
      </c>
      <c r="B4" s="336" t="s">
        <v>1</v>
      </c>
      <c r="C4" s="336" t="s">
        <v>2</v>
      </c>
      <c r="D4" s="337" t="s">
        <v>1319</v>
      </c>
      <c r="E4" s="338" t="s">
        <v>1273</v>
      </c>
      <c r="F4" s="336" t="s">
        <v>302</v>
      </c>
      <c r="G4" s="336"/>
      <c r="H4" s="336"/>
      <c r="I4" s="336"/>
      <c r="J4" s="336"/>
      <c r="K4" s="336"/>
      <c r="L4" s="336"/>
      <c r="M4" s="336"/>
      <c r="N4" s="339" t="s">
        <v>1283</v>
      </c>
      <c r="O4" s="340"/>
    </row>
    <row r="5" spans="1:15" ht="50.25" customHeight="1">
      <c r="A5" s="336"/>
      <c r="B5" s="336"/>
      <c r="C5" s="336"/>
      <c r="D5" s="337"/>
      <c r="E5" s="338"/>
      <c r="F5" s="15" t="s">
        <v>3</v>
      </c>
      <c r="G5" s="15" t="s">
        <v>40</v>
      </c>
      <c r="H5" s="15" t="s">
        <v>4</v>
      </c>
      <c r="I5" s="15" t="s">
        <v>5</v>
      </c>
      <c r="J5" s="15" t="s">
        <v>6</v>
      </c>
      <c r="K5" s="15" t="s">
        <v>7</v>
      </c>
      <c r="L5" s="15" t="s">
        <v>8</v>
      </c>
      <c r="M5" s="15" t="s">
        <v>9</v>
      </c>
      <c r="N5" s="15" t="s">
        <v>303</v>
      </c>
      <c r="O5" s="28" t="s">
        <v>293</v>
      </c>
    </row>
    <row r="6" spans="1:15" s="5" customFormat="1" ht="143.25" customHeight="1">
      <c r="A6" s="32">
        <v>1</v>
      </c>
      <c r="B6" s="31" t="s">
        <v>10</v>
      </c>
      <c r="C6" s="32" t="s">
        <v>27</v>
      </c>
      <c r="D6" s="106">
        <v>3500</v>
      </c>
      <c r="E6" s="167">
        <f>+F6+G6+H6+I6+J6+K6+L6+M6</f>
        <v>3936</v>
      </c>
      <c r="F6" s="124">
        <v>342</v>
      </c>
      <c r="G6" s="124">
        <v>600</v>
      </c>
      <c r="H6" s="124">
        <v>232</v>
      </c>
      <c r="I6" s="124">
        <v>100</v>
      </c>
      <c r="J6" s="124">
        <v>320</v>
      </c>
      <c r="K6" s="124">
        <v>400</v>
      </c>
      <c r="L6" s="124">
        <v>432</v>
      </c>
      <c r="M6" s="167">
        <v>1510</v>
      </c>
      <c r="N6" s="167">
        <v>4270</v>
      </c>
      <c r="O6" s="121" t="s">
        <v>331</v>
      </c>
    </row>
    <row r="7" spans="1:15" s="5" customFormat="1" ht="108" customHeight="1">
      <c r="A7" s="1"/>
      <c r="B7" s="2" t="s">
        <v>49</v>
      </c>
      <c r="C7" s="1" t="s">
        <v>27</v>
      </c>
      <c r="D7" s="16">
        <v>1750</v>
      </c>
      <c r="E7" s="168">
        <f t="shared" ref="E7:E48" si="0">+F7+G7+H7+I7+J7+K7+L7+M7</f>
        <v>1834</v>
      </c>
      <c r="F7" s="125">
        <v>275</v>
      </c>
      <c r="G7" s="125">
        <v>350</v>
      </c>
      <c r="H7" s="125">
        <v>231</v>
      </c>
      <c r="I7" s="125">
        <v>30</v>
      </c>
      <c r="J7" s="125"/>
      <c r="K7" s="125"/>
      <c r="L7" s="125">
        <v>432</v>
      </c>
      <c r="M7" s="105">
        <v>516</v>
      </c>
      <c r="N7" s="167">
        <v>1786</v>
      </c>
      <c r="O7" s="121" t="s">
        <v>332</v>
      </c>
    </row>
    <row r="8" spans="1:15" s="5" customFormat="1" ht="43.5" customHeight="1">
      <c r="A8" s="32">
        <v>2</v>
      </c>
      <c r="B8" s="31" t="s">
        <v>11</v>
      </c>
      <c r="C8" s="32" t="s">
        <v>27</v>
      </c>
      <c r="D8" s="106">
        <v>10202</v>
      </c>
      <c r="E8" s="169">
        <f t="shared" si="0"/>
        <v>10436.189999999999</v>
      </c>
      <c r="F8" s="169">
        <v>963.95</v>
      </c>
      <c r="G8" s="124">
        <v>2220.6800000000003</v>
      </c>
      <c r="H8" s="124">
        <v>847.9</v>
      </c>
      <c r="I8" s="124"/>
      <c r="J8" s="124"/>
      <c r="K8" s="124">
        <v>727.04</v>
      </c>
      <c r="L8" s="124">
        <v>3715</v>
      </c>
      <c r="M8" s="116">
        <v>1961.62</v>
      </c>
      <c r="N8" s="170">
        <v>10764.6</v>
      </c>
      <c r="O8" s="104"/>
    </row>
    <row r="9" spans="1:15" ht="27" customHeight="1">
      <c r="A9" s="1" t="s">
        <v>35</v>
      </c>
      <c r="B9" s="2" t="s">
        <v>12</v>
      </c>
      <c r="C9" s="1" t="s">
        <v>27</v>
      </c>
      <c r="D9" s="16">
        <v>2400</v>
      </c>
      <c r="E9" s="171">
        <f t="shared" si="0"/>
        <v>2256.0700000000002</v>
      </c>
      <c r="F9" s="171">
        <v>20.45</v>
      </c>
      <c r="G9" s="125">
        <v>386.20000000000005</v>
      </c>
      <c r="H9" s="125">
        <v>548.78</v>
      </c>
      <c r="I9" s="125"/>
      <c r="J9" s="125"/>
      <c r="K9" s="125">
        <v>314.2</v>
      </c>
      <c r="L9" s="168">
        <v>371.01</v>
      </c>
      <c r="M9" s="105">
        <v>615.43000000000006</v>
      </c>
      <c r="N9" s="164">
        <v>2586.0700000000002</v>
      </c>
      <c r="O9" s="122"/>
    </row>
    <row r="10" spans="1:15" s="5" customFormat="1" ht="27" customHeight="1">
      <c r="A10" s="32">
        <v>3</v>
      </c>
      <c r="B10" s="31" t="s">
        <v>13</v>
      </c>
      <c r="C10" s="32" t="s">
        <v>27</v>
      </c>
      <c r="D10" s="106"/>
      <c r="E10" s="169">
        <f t="shared" si="0"/>
        <v>155.4</v>
      </c>
      <c r="F10" s="124"/>
      <c r="G10" s="124">
        <v>111.94</v>
      </c>
      <c r="H10" s="124">
        <v>25</v>
      </c>
      <c r="I10" s="124"/>
      <c r="J10" s="124"/>
      <c r="K10" s="124">
        <v>9.9600000000000009</v>
      </c>
      <c r="L10" s="167">
        <v>8.5</v>
      </c>
      <c r="M10" s="116"/>
      <c r="N10" s="117"/>
      <c r="O10" s="104"/>
    </row>
    <row r="11" spans="1:15" ht="27" customHeight="1">
      <c r="A11" s="1" t="s">
        <v>35</v>
      </c>
      <c r="B11" s="2" t="s">
        <v>14</v>
      </c>
      <c r="C11" s="1" t="s">
        <v>27</v>
      </c>
      <c r="D11" s="16">
        <v>300</v>
      </c>
      <c r="E11" s="168">
        <f t="shared" si="0"/>
        <v>133</v>
      </c>
      <c r="F11" s="125"/>
      <c r="G11" s="125">
        <v>65</v>
      </c>
      <c r="H11" s="125">
        <v>55</v>
      </c>
      <c r="I11" s="172"/>
      <c r="J11" s="125"/>
      <c r="K11" s="125">
        <v>8</v>
      </c>
      <c r="L11" s="125">
        <v>5</v>
      </c>
      <c r="M11" s="105"/>
      <c r="N11" s="117">
        <v>133</v>
      </c>
      <c r="O11" s="123"/>
    </row>
    <row r="12" spans="1:15" ht="27" customHeight="1">
      <c r="A12" s="1" t="s">
        <v>35</v>
      </c>
      <c r="B12" s="2" t="s">
        <v>37</v>
      </c>
      <c r="C12" s="1" t="s">
        <v>28</v>
      </c>
      <c r="D12" s="16"/>
      <c r="E12" s="125">
        <f t="shared" si="0"/>
        <v>12065</v>
      </c>
      <c r="F12" s="172"/>
      <c r="G12" s="125">
        <v>5201</v>
      </c>
      <c r="H12" s="125"/>
      <c r="I12" s="125"/>
      <c r="J12" s="125">
        <v>166</v>
      </c>
      <c r="K12" s="125">
        <v>6698</v>
      </c>
      <c r="L12" s="125"/>
      <c r="M12" s="105"/>
      <c r="N12" s="170">
        <v>12065</v>
      </c>
      <c r="O12" s="123"/>
    </row>
    <row r="13" spans="1:15" s="5" customFormat="1" ht="27" customHeight="1">
      <c r="A13" s="32">
        <v>4</v>
      </c>
      <c r="B13" s="31" t="s">
        <v>15</v>
      </c>
      <c r="C13" s="32" t="s">
        <v>27</v>
      </c>
      <c r="D13" s="106">
        <v>12995.8</v>
      </c>
      <c r="E13" s="124">
        <f t="shared" si="0"/>
        <v>12933.14</v>
      </c>
      <c r="F13" s="124"/>
      <c r="G13" s="124"/>
      <c r="H13" s="124">
        <v>1353.24</v>
      </c>
      <c r="I13" s="173">
        <v>2057.4</v>
      </c>
      <c r="J13" s="174">
        <f>374.3+21.7</f>
        <v>396</v>
      </c>
      <c r="K13" s="124">
        <v>8112</v>
      </c>
      <c r="L13" s="124"/>
      <c r="M13" s="124">
        <f>24.42+990.08</f>
        <v>1014.5</v>
      </c>
      <c r="N13" s="175">
        <v>12933</v>
      </c>
      <c r="O13" s="104"/>
    </row>
    <row r="14" spans="1:15" s="5" customFormat="1" ht="27" customHeight="1">
      <c r="A14" s="1" t="s">
        <v>35</v>
      </c>
      <c r="B14" s="2" t="s">
        <v>46</v>
      </c>
      <c r="C14" s="1" t="s">
        <v>27</v>
      </c>
      <c r="D14" s="16"/>
      <c r="E14" s="125">
        <f t="shared" si="0"/>
        <v>12036.93</v>
      </c>
      <c r="F14" s="125"/>
      <c r="G14" s="125"/>
      <c r="H14" s="125">
        <v>1186.47</v>
      </c>
      <c r="I14" s="125">
        <v>2147.36</v>
      </c>
      <c r="J14" s="125">
        <v>368.8</v>
      </c>
      <c r="K14" s="125">
        <v>7916.3</v>
      </c>
      <c r="L14" s="125"/>
      <c r="M14" s="105">
        <v>418</v>
      </c>
      <c r="N14" s="124">
        <v>12036.93</v>
      </c>
      <c r="O14" s="104"/>
    </row>
    <row r="15" spans="1:15" s="5" customFormat="1" ht="27" customHeight="1">
      <c r="A15" s="1" t="s">
        <v>35</v>
      </c>
      <c r="B15" s="2" t="s">
        <v>47</v>
      </c>
      <c r="C15" s="1" t="s">
        <v>980</v>
      </c>
      <c r="D15" s="16">
        <v>11000</v>
      </c>
      <c r="E15" s="125">
        <f>+H15+I15+J15+K15+L15+M15</f>
        <v>9220</v>
      </c>
      <c r="F15" s="125"/>
      <c r="G15" s="125"/>
      <c r="H15" s="125">
        <v>1356</v>
      </c>
      <c r="I15" s="125">
        <v>998.8</v>
      </c>
      <c r="J15" s="125">
        <v>71.400000000000006</v>
      </c>
      <c r="K15" s="125">
        <v>6628.8</v>
      </c>
      <c r="L15" s="125"/>
      <c r="M15" s="105">
        <v>165</v>
      </c>
      <c r="N15" s="175">
        <v>10800</v>
      </c>
      <c r="O15" s="104"/>
    </row>
    <row r="16" spans="1:15" s="5" customFormat="1" ht="27" customHeight="1">
      <c r="A16" s="32">
        <v>5</v>
      </c>
      <c r="B16" s="31" t="s">
        <v>16</v>
      </c>
      <c r="C16" s="32" t="s">
        <v>27</v>
      </c>
      <c r="D16" s="106">
        <v>8000</v>
      </c>
      <c r="E16" s="124">
        <f t="shared" si="0"/>
        <v>7420.91</v>
      </c>
      <c r="F16" s="106">
        <v>280.39999999999998</v>
      </c>
      <c r="G16" s="106">
        <v>1002.8199999999999</v>
      </c>
      <c r="H16" s="106">
        <v>683.3900000000001</v>
      </c>
      <c r="I16" s="106">
        <v>83.18</v>
      </c>
      <c r="J16" s="106">
        <v>431.16</v>
      </c>
      <c r="K16" s="106">
        <v>694.44999999999993</v>
      </c>
      <c r="L16" s="106">
        <v>2696.4300000000003</v>
      </c>
      <c r="M16" s="106">
        <v>1549.0800000000002</v>
      </c>
      <c r="N16" s="175">
        <v>7421</v>
      </c>
      <c r="O16" s="104"/>
    </row>
    <row r="17" spans="1:17" ht="27" customHeight="1">
      <c r="A17" s="1" t="s">
        <v>35</v>
      </c>
      <c r="B17" s="2" t="s">
        <v>12</v>
      </c>
      <c r="C17" s="1" t="s">
        <v>27</v>
      </c>
      <c r="D17" s="16">
        <v>4000</v>
      </c>
      <c r="E17" s="125">
        <f t="shared" si="0"/>
        <v>3709.0099999999998</v>
      </c>
      <c r="F17" s="125"/>
      <c r="G17" s="125">
        <v>289.63</v>
      </c>
      <c r="H17" s="125">
        <v>509.17999999999995</v>
      </c>
      <c r="I17" s="125"/>
      <c r="J17" s="125">
        <v>100</v>
      </c>
      <c r="K17" s="125">
        <v>568</v>
      </c>
      <c r="L17" s="125">
        <v>1626.6</v>
      </c>
      <c r="M17" s="125">
        <v>615.6</v>
      </c>
      <c r="N17" s="175">
        <v>0</v>
      </c>
      <c r="O17" s="123"/>
    </row>
    <row r="18" spans="1:17" s="5" customFormat="1" ht="39.75" customHeight="1">
      <c r="A18" s="32">
        <v>6</v>
      </c>
      <c r="B18" s="31" t="s">
        <v>17</v>
      </c>
      <c r="C18" s="32" t="s">
        <v>27</v>
      </c>
      <c r="D18" s="106">
        <v>6800</v>
      </c>
      <c r="E18" s="124">
        <f t="shared" si="0"/>
        <v>5298.7800000000007</v>
      </c>
      <c r="F18" s="106">
        <v>28.450000000000003</v>
      </c>
      <c r="G18" s="124">
        <v>612.69999999999993</v>
      </c>
      <c r="H18" s="124">
        <v>2022</v>
      </c>
      <c r="I18" s="167">
        <v>341.9</v>
      </c>
      <c r="J18" s="124">
        <v>328.25</v>
      </c>
      <c r="K18" s="124">
        <v>1030.5</v>
      </c>
      <c r="L18" s="124">
        <v>324.73</v>
      </c>
      <c r="M18" s="116">
        <v>610.25</v>
      </c>
      <c r="N18" s="176">
        <v>4502.2</v>
      </c>
      <c r="O18" s="104"/>
    </row>
    <row r="19" spans="1:17" ht="106.5" customHeight="1">
      <c r="A19" s="1" t="s">
        <v>35</v>
      </c>
      <c r="B19" s="2" t="s">
        <v>12</v>
      </c>
      <c r="C19" s="1" t="s">
        <v>27</v>
      </c>
      <c r="D19" s="16">
        <v>1600</v>
      </c>
      <c r="E19" s="125">
        <f t="shared" si="0"/>
        <v>1755.3400000000001</v>
      </c>
      <c r="F19" s="125"/>
      <c r="G19" s="126">
        <v>476.17</v>
      </c>
      <c r="H19" s="126">
        <v>427.3</v>
      </c>
      <c r="I19" s="126">
        <v>115.7</v>
      </c>
      <c r="J19" s="126">
        <v>491.77</v>
      </c>
      <c r="K19" s="126">
        <v>103</v>
      </c>
      <c r="L19" s="126">
        <v>101.7</v>
      </c>
      <c r="M19" s="126">
        <v>39.700000000000003</v>
      </c>
      <c r="N19" s="170">
        <v>2006</v>
      </c>
      <c r="O19" s="121" t="s">
        <v>333</v>
      </c>
    </row>
    <row r="20" spans="1:17" s="5" customFormat="1" ht="34.5" customHeight="1">
      <c r="A20" s="32">
        <v>7</v>
      </c>
      <c r="B20" s="31" t="s">
        <v>18</v>
      </c>
      <c r="C20" s="32" t="s">
        <v>27</v>
      </c>
      <c r="D20" s="106">
        <v>200</v>
      </c>
      <c r="E20" s="124">
        <f t="shared" si="0"/>
        <v>346.85</v>
      </c>
      <c r="F20" s="33">
        <f>F21+F23</f>
        <v>69</v>
      </c>
      <c r="G20" s="33">
        <f t="shared" ref="G20:M20" si="1">G21+G23</f>
        <v>63.42</v>
      </c>
      <c r="H20" s="33"/>
      <c r="I20" s="33"/>
      <c r="J20" s="33"/>
      <c r="K20" s="33">
        <f t="shared" si="1"/>
        <v>25</v>
      </c>
      <c r="L20" s="33">
        <f t="shared" si="1"/>
        <v>73.400000000000006</v>
      </c>
      <c r="M20" s="33">
        <f t="shared" si="1"/>
        <v>116.03</v>
      </c>
      <c r="N20" s="117">
        <v>401</v>
      </c>
      <c r="O20" s="104"/>
    </row>
    <row r="21" spans="1:17" ht="28.5" customHeight="1">
      <c r="A21" s="1" t="s">
        <v>51</v>
      </c>
      <c r="B21" s="2" t="s">
        <v>52</v>
      </c>
      <c r="C21" s="1" t="s">
        <v>27</v>
      </c>
      <c r="D21" s="16">
        <v>200</v>
      </c>
      <c r="E21" s="125">
        <f t="shared" si="0"/>
        <v>158.25000000000003</v>
      </c>
      <c r="F21" s="177">
        <v>69</v>
      </c>
      <c r="G21" s="168">
        <v>63.42</v>
      </c>
      <c r="H21" s="125"/>
      <c r="I21" s="125"/>
      <c r="J21" s="125"/>
      <c r="K21" s="125">
        <v>25</v>
      </c>
      <c r="L21" s="168"/>
      <c r="M21" s="105">
        <v>0.83</v>
      </c>
      <c r="N21" s="117">
        <v>158</v>
      </c>
      <c r="O21" s="123"/>
    </row>
    <row r="22" spans="1:17" ht="28.5" customHeight="1">
      <c r="A22" s="6" t="s">
        <v>50</v>
      </c>
      <c r="B22" s="2" t="s">
        <v>55</v>
      </c>
      <c r="C22" s="1" t="s">
        <v>27</v>
      </c>
      <c r="D22" s="16"/>
      <c r="E22" s="125">
        <f t="shared" si="0"/>
        <v>95</v>
      </c>
      <c r="F22" s="177">
        <v>21</v>
      </c>
      <c r="G22" s="171">
        <v>47.5</v>
      </c>
      <c r="H22" s="125"/>
      <c r="I22" s="125"/>
      <c r="J22" s="125"/>
      <c r="K22" s="125">
        <v>25</v>
      </c>
      <c r="L22" s="168">
        <v>1.5</v>
      </c>
      <c r="M22" s="105"/>
      <c r="N22" s="117">
        <v>95</v>
      </c>
      <c r="O22" s="123"/>
    </row>
    <row r="23" spans="1:17" ht="28.5" customHeight="1">
      <c r="A23" s="1" t="s">
        <v>54</v>
      </c>
      <c r="B23" s="2" t="s">
        <v>53</v>
      </c>
      <c r="C23" s="1" t="s">
        <v>27</v>
      </c>
      <c r="D23" s="16"/>
      <c r="E23" s="125">
        <f t="shared" si="0"/>
        <v>188.60000000000002</v>
      </c>
      <c r="F23" s="125"/>
      <c r="G23" s="125"/>
      <c r="H23" s="125"/>
      <c r="I23" s="125"/>
      <c r="J23" s="125"/>
      <c r="K23" s="125"/>
      <c r="L23" s="168">
        <v>73.400000000000006</v>
      </c>
      <c r="M23" s="105">
        <v>115.2</v>
      </c>
      <c r="N23" s="117">
        <v>242.6</v>
      </c>
      <c r="O23" s="121" t="s">
        <v>1287</v>
      </c>
    </row>
    <row r="24" spans="1:17" ht="28.5" customHeight="1">
      <c r="A24" s="32">
        <v>8</v>
      </c>
      <c r="B24" s="31" t="s">
        <v>1274</v>
      </c>
      <c r="C24" s="32" t="s">
        <v>29</v>
      </c>
      <c r="D24" s="106">
        <v>70000</v>
      </c>
      <c r="E24" s="124"/>
      <c r="F24" s="125"/>
      <c r="G24" s="125"/>
      <c r="H24" s="125"/>
      <c r="I24" s="125"/>
      <c r="J24" s="125"/>
      <c r="K24" s="125"/>
      <c r="L24" s="168"/>
      <c r="M24" s="105"/>
      <c r="N24" s="170">
        <v>79000</v>
      </c>
      <c r="O24" s="236"/>
    </row>
    <row r="25" spans="1:17" s="5" customFormat="1" ht="38.25" customHeight="1">
      <c r="A25" s="29" t="s">
        <v>50</v>
      </c>
      <c r="B25" s="2" t="s">
        <v>1275</v>
      </c>
      <c r="C25" s="1" t="s">
        <v>29</v>
      </c>
      <c r="D25" s="16"/>
      <c r="E25" s="125">
        <f t="shared" si="0"/>
        <v>58106</v>
      </c>
      <c r="F25" s="125"/>
      <c r="G25" s="125"/>
      <c r="H25" s="125">
        <v>45904</v>
      </c>
      <c r="I25" s="125"/>
      <c r="J25" s="125"/>
      <c r="K25" s="125">
        <v>12202</v>
      </c>
      <c r="L25" s="125"/>
      <c r="M25" s="125"/>
      <c r="N25" s="170">
        <v>58906</v>
      </c>
      <c r="O25" s="121" t="s">
        <v>1288</v>
      </c>
    </row>
    <row r="26" spans="1:17" s="5" customFormat="1" ht="38.25" customHeight="1">
      <c r="A26" s="32">
        <v>9</v>
      </c>
      <c r="B26" s="31" t="s">
        <v>45</v>
      </c>
      <c r="C26" s="32" t="s">
        <v>43</v>
      </c>
      <c r="D26" s="106">
        <f>D27+D28</f>
        <v>64</v>
      </c>
      <c r="E26" s="106">
        <f t="shared" ref="E26:N26" si="2">E27+E28</f>
        <v>274</v>
      </c>
      <c r="F26" s="106">
        <f t="shared" si="2"/>
        <v>22</v>
      </c>
      <c r="G26" s="106">
        <f t="shared" si="2"/>
        <v>36</v>
      </c>
      <c r="H26" s="106">
        <f t="shared" si="2"/>
        <v>13</v>
      </c>
      <c r="I26" s="106">
        <f t="shared" si="2"/>
        <v>65</v>
      </c>
      <c r="J26" s="106">
        <f t="shared" si="2"/>
        <v>46</v>
      </c>
      <c r="K26" s="106">
        <f t="shared" si="2"/>
        <v>6</v>
      </c>
      <c r="L26" s="106">
        <f t="shared" si="2"/>
        <v>42</v>
      </c>
      <c r="M26" s="106">
        <f t="shared" si="2"/>
        <v>53</v>
      </c>
      <c r="N26" s="106">
        <f t="shared" si="2"/>
        <v>274</v>
      </c>
      <c r="O26" s="127"/>
    </row>
    <row r="27" spans="1:17" s="131" customFormat="1" ht="38.25" customHeight="1">
      <c r="A27" s="128" t="s">
        <v>962</v>
      </c>
      <c r="B27" s="129" t="s">
        <v>44</v>
      </c>
      <c r="C27" s="128" t="s">
        <v>43</v>
      </c>
      <c r="D27" s="112">
        <v>36</v>
      </c>
      <c r="E27" s="178">
        <v>246</v>
      </c>
      <c r="F27" s="178">
        <v>12</v>
      </c>
      <c r="G27" s="178">
        <v>28</v>
      </c>
      <c r="H27" s="178">
        <v>7</v>
      </c>
      <c r="I27" s="178">
        <v>63</v>
      </c>
      <c r="J27" s="178">
        <v>42</v>
      </c>
      <c r="K27" s="178">
        <v>6</v>
      </c>
      <c r="L27" s="178">
        <v>40</v>
      </c>
      <c r="M27" s="113">
        <v>48</v>
      </c>
      <c r="N27" s="179">
        <v>246</v>
      </c>
      <c r="O27" s="130"/>
      <c r="Q27" s="132"/>
    </row>
    <row r="28" spans="1:17" s="131" customFormat="1" ht="38.25" customHeight="1">
      <c r="A28" s="128" t="s">
        <v>963</v>
      </c>
      <c r="B28" s="129" t="s">
        <v>45</v>
      </c>
      <c r="C28" s="128" t="s">
        <v>43</v>
      </c>
      <c r="D28" s="112">
        <v>28</v>
      </c>
      <c r="E28" s="178">
        <v>28</v>
      </c>
      <c r="F28" s="178">
        <v>10</v>
      </c>
      <c r="G28" s="178">
        <v>8</v>
      </c>
      <c r="H28" s="178">
        <v>6</v>
      </c>
      <c r="I28" s="178">
        <v>2</v>
      </c>
      <c r="J28" s="178">
        <v>4</v>
      </c>
      <c r="K28" s="178"/>
      <c r="L28" s="178">
        <v>2</v>
      </c>
      <c r="M28" s="113">
        <v>5</v>
      </c>
      <c r="N28" s="179">
        <v>28</v>
      </c>
      <c r="O28" s="133"/>
    </row>
    <row r="29" spans="1:17" ht="38.25" customHeight="1">
      <c r="A29" s="134">
        <v>10</v>
      </c>
      <c r="B29" s="135" t="s">
        <v>975</v>
      </c>
      <c r="C29" s="136" t="s">
        <v>30</v>
      </c>
      <c r="D29" s="180"/>
      <c r="E29" s="125">
        <v>66544</v>
      </c>
      <c r="F29" s="180">
        <v>7240</v>
      </c>
      <c r="G29" s="180">
        <v>7380.5</v>
      </c>
      <c r="H29" s="180">
        <v>5137</v>
      </c>
      <c r="I29" s="180">
        <v>10521</v>
      </c>
      <c r="J29" s="180">
        <v>8407</v>
      </c>
      <c r="K29" s="180">
        <v>3405.8</v>
      </c>
      <c r="L29" s="180">
        <v>19361.7</v>
      </c>
      <c r="M29" s="180">
        <v>5091</v>
      </c>
      <c r="N29" s="192">
        <v>67344</v>
      </c>
      <c r="O29" s="136"/>
    </row>
    <row r="30" spans="1:17" s="5" customFormat="1" ht="43.5" customHeight="1">
      <c r="A30" s="137">
        <v>11</v>
      </c>
      <c r="B30" s="138" t="s">
        <v>976</v>
      </c>
      <c r="C30" s="138"/>
      <c r="D30" s="182"/>
      <c r="E30" s="124">
        <v>0</v>
      </c>
      <c r="F30" s="182"/>
      <c r="G30" s="182"/>
      <c r="H30" s="182"/>
      <c r="I30" s="182"/>
      <c r="J30" s="182"/>
      <c r="K30" s="182"/>
      <c r="L30" s="182"/>
      <c r="M30" s="182"/>
      <c r="N30" s="182"/>
      <c r="O30" s="138"/>
    </row>
    <row r="31" spans="1:17" s="131" customFormat="1" ht="43.5" customHeight="1">
      <c r="A31" s="139" t="s">
        <v>965</v>
      </c>
      <c r="B31" s="129" t="s">
        <v>977</v>
      </c>
      <c r="C31" s="128" t="s">
        <v>31</v>
      </c>
      <c r="D31" s="16">
        <v>12300</v>
      </c>
      <c r="E31" s="125">
        <v>18516</v>
      </c>
      <c r="F31" s="183">
        <v>1298</v>
      </c>
      <c r="G31" s="183">
        <v>492</v>
      </c>
      <c r="H31" s="183">
        <v>344</v>
      </c>
      <c r="I31" s="183">
        <v>168</v>
      </c>
      <c r="J31" s="183">
        <v>238</v>
      </c>
      <c r="K31" s="183"/>
      <c r="L31" s="183">
        <v>14076</v>
      </c>
      <c r="M31" s="183">
        <v>1900</v>
      </c>
      <c r="N31" s="235">
        <v>18516</v>
      </c>
      <c r="O31" s="140"/>
    </row>
    <row r="32" spans="1:17" s="131" customFormat="1" ht="43.5" customHeight="1">
      <c r="A32" s="139" t="s">
        <v>966</v>
      </c>
      <c r="B32" s="129" t="s">
        <v>978</v>
      </c>
      <c r="C32" s="128" t="s">
        <v>30</v>
      </c>
      <c r="D32" s="16">
        <v>52800</v>
      </c>
      <c r="E32" s="125">
        <v>2441</v>
      </c>
      <c r="F32" s="184"/>
      <c r="G32" s="184">
        <v>600</v>
      </c>
      <c r="H32" s="184"/>
      <c r="I32" s="184"/>
      <c r="J32" s="184">
        <v>600</v>
      </c>
      <c r="K32" s="184"/>
      <c r="L32" s="184">
        <v>741</v>
      </c>
      <c r="M32" s="184">
        <v>500</v>
      </c>
      <c r="N32" s="235">
        <v>2441</v>
      </c>
      <c r="O32" s="140"/>
    </row>
    <row r="33" spans="1:19" s="5" customFormat="1" ht="37.5" customHeight="1">
      <c r="A33" s="141">
        <v>12</v>
      </c>
      <c r="B33" s="142" t="s">
        <v>1281</v>
      </c>
      <c r="C33" s="143" t="s">
        <v>27</v>
      </c>
      <c r="D33" s="185"/>
      <c r="E33" s="124">
        <v>1114.07</v>
      </c>
      <c r="F33" s="185">
        <v>61.3</v>
      </c>
      <c r="G33" s="186">
        <v>126</v>
      </c>
      <c r="H33" s="186">
        <v>116.57</v>
      </c>
      <c r="I33" s="186">
        <v>160</v>
      </c>
      <c r="J33" s="187">
        <v>38</v>
      </c>
      <c r="K33" s="186">
        <v>242</v>
      </c>
      <c r="L33" s="186">
        <v>91</v>
      </c>
      <c r="M33" s="188">
        <v>279.2</v>
      </c>
      <c r="N33" s="192">
        <v>1114</v>
      </c>
      <c r="O33" s="144"/>
    </row>
    <row r="34" spans="1:19" ht="37.5" customHeight="1">
      <c r="A34" s="134" t="s">
        <v>50</v>
      </c>
      <c r="B34" s="135" t="s">
        <v>1323</v>
      </c>
      <c r="C34" s="136"/>
      <c r="D34" s="180"/>
      <c r="E34" s="125">
        <v>248.40999999999997</v>
      </c>
      <c r="F34" s="180">
        <v>4.5</v>
      </c>
      <c r="G34" s="189">
        <v>26.7</v>
      </c>
      <c r="H34" s="189"/>
      <c r="I34" s="189">
        <v>90.71</v>
      </c>
      <c r="J34" s="190">
        <v>8</v>
      </c>
      <c r="K34" s="189">
        <v>46</v>
      </c>
      <c r="L34" s="189">
        <v>1.7</v>
      </c>
      <c r="M34" s="191">
        <v>70.8</v>
      </c>
      <c r="N34" s="181">
        <v>248.41</v>
      </c>
      <c r="O34" s="146"/>
    </row>
    <row r="35" spans="1:19" s="5" customFormat="1" ht="37.5" customHeight="1">
      <c r="A35" s="141">
        <v>13</v>
      </c>
      <c r="B35" s="142" t="s">
        <v>313</v>
      </c>
      <c r="C35" s="143" t="s">
        <v>32</v>
      </c>
      <c r="D35" s="185">
        <v>4380</v>
      </c>
      <c r="E35" s="124">
        <v>17900</v>
      </c>
      <c r="F35" s="185">
        <v>1278</v>
      </c>
      <c r="G35" s="186">
        <v>1520</v>
      </c>
      <c r="H35" s="186">
        <v>2027</v>
      </c>
      <c r="I35" s="186">
        <v>1630</v>
      </c>
      <c r="J35" s="187">
        <v>600</v>
      </c>
      <c r="K35" s="186">
        <v>3660</v>
      </c>
      <c r="L35" s="186">
        <v>4360</v>
      </c>
      <c r="M35" s="185">
        <v>2825</v>
      </c>
      <c r="N35" s="147">
        <v>18000</v>
      </c>
      <c r="O35" s="147"/>
    </row>
    <row r="36" spans="1:19" ht="45.75" customHeight="1">
      <c r="A36" s="134" t="s">
        <v>50</v>
      </c>
      <c r="B36" s="135" t="s">
        <v>1324</v>
      </c>
      <c r="C36" s="136" t="s">
        <v>32</v>
      </c>
      <c r="D36" s="180"/>
      <c r="E36" s="125">
        <v>6333</v>
      </c>
      <c r="F36" s="180">
        <v>525</v>
      </c>
      <c r="G36" s="189">
        <v>1027</v>
      </c>
      <c r="H36" s="189">
        <v>600</v>
      </c>
      <c r="I36" s="189">
        <v>1249</v>
      </c>
      <c r="J36" s="189">
        <v>212</v>
      </c>
      <c r="K36" s="189">
        <v>621</v>
      </c>
      <c r="L36" s="189">
        <v>1299</v>
      </c>
      <c r="M36" s="191">
        <v>800</v>
      </c>
      <c r="N36" s="192">
        <v>6773</v>
      </c>
      <c r="O36" s="145" t="s">
        <v>1284</v>
      </c>
    </row>
    <row r="37" spans="1:19" s="5" customFormat="1" ht="63" customHeight="1">
      <c r="A37" s="143">
        <v>14</v>
      </c>
      <c r="B37" s="142" t="s">
        <v>308</v>
      </c>
      <c r="C37" s="143" t="s">
        <v>31</v>
      </c>
      <c r="D37" s="185">
        <v>45000</v>
      </c>
      <c r="E37" s="124">
        <v>142920</v>
      </c>
      <c r="F37" s="186"/>
      <c r="G37" s="186"/>
      <c r="H37" s="186"/>
      <c r="I37" s="186">
        <v>26676</v>
      </c>
      <c r="J37" s="186"/>
      <c r="K37" s="186">
        <v>4320</v>
      </c>
      <c r="L37" s="186">
        <v>42372</v>
      </c>
      <c r="M37" s="185">
        <v>69552</v>
      </c>
      <c r="N37" s="150">
        <v>177084</v>
      </c>
      <c r="O37" s="148" t="s">
        <v>1285</v>
      </c>
      <c r="P37" s="149"/>
      <c r="Q37" s="149"/>
      <c r="R37" s="149"/>
      <c r="S37" s="149"/>
    </row>
    <row r="38" spans="1:19" s="5" customFormat="1" ht="43.5" customHeight="1">
      <c r="A38" s="143">
        <v>15</v>
      </c>
      <c r="B38" s="142" t="s">
        <v>1318</v>
      </c>
      <c r="C38" s="143" t="s">
        <v>31</v>
      </c>
      <c r="D38" s="185">
        <v>18000</v>
      </c>
      <c r="E38" s="124">
        <f>SUM(F38:M38)</f>
        <v>45338</v>
      </c>
      <c r="F38" s="186"/>
      <c r="G38" s="186">
        <v>31468</v>
      </c>
      <c r="H38" s="186">
        <v>11370</v>
      </c>
      <c r="I38" s="186"/>
      <c r="J38" s="186"/>
      <c r="K38" s="186">
        <v>2500</v>
      </c>
      <c r="L38" s="186"/>
      <c r="M38" s="188"/>
      <c r="N38" s="150">
        <f>E38+1500</f>
        <v>46838</v>
      </c>
      <c r="O38" s="237" t="s">
        <v>1322</v>
      </c>
      <c r="R38" s="149"/>
      <c r="S38" s="232"/>
    </row>
    <row r="39" spans="1:19" s="118" customFormat="1" ht="35.25" customHeight="1">
      <c r="A39" s="32">
        <v>16</v>
      </c>
      <c r="B39" s="151" t="s">
        <v>24</v>
      </c>
      <c r="C39" s="152" t="s">
        <v>33</v>
      </c>
      <c r="D39" s="153"/>
      <c r="E39" s="124">
        <f t="shared" si="0"/>
        <v>268</v>
      </c>
      <c r="F39" s="193">
        <v>61</v>
      </c>
      <c r="G39" s="194">
        <v>37</v>
      </c>
      <c r="H39" s="194">
        <v>31</v>
      </c>
      <c r="I39" s="194">
        <v>12</v>
      </c>
      <c r="J39" s="194">
        <v>19</v>
      </c>
      <c r="K39" s="194">
        <v>23</v>
      </c>
      <c r="L39" s="193">
        <v>29</v>
      </c>
      <c r="M39" s="154">
        <v>56</v>
      </c>
      <c r="N39" s="195">
        <v>280</v>
      </c>
      <c r="O39" s="155"/>
      <c r="S39" s="233"/>
    </row>
    <row r="40" spans="1:19" s="160" customFormat="1" ht="35.25" customHeight="1">
      <c r="A40" s="1" t="s">
        <v>35</v>
      </c>
      <c r="B40" s="156" t="s">
        <v>1277</v>
      </c>
      <c r="C40" s="157" t="s">
        <v>33</v>
      </c>
      <c r="D40" s="158"/>
      <c r="E40" s="125">
        <f t="shared" si="0"/>
        <v>257</v>
      </c>
      <c r="F40" s="196">
        <v>61</v>
      </c>
      <c r="G40" s="197">
        <v>37</v>
      </c>
      <c r="H40" s="197">
        <v>31</v>
      </c>
      <c r="I40" s="197">
        <v>8</v>
      </c>
      <c r="J40" s="197">
        <v>19</v>
      </c>
      <c r="K40" s="197">
        <v>23</v>
      </c>
      <c r="L40" s="196">
        <v>26</v>
      </c>
      <c r="M40" s="159">
        <v>52</v>
      </c>
      <c r="N40" s="195">
        <v>269</v>
      </c>
      <c r="O40" s="155"/>
      <c r="S40" s="234"/>
    </row>
    <row r="41" spans="1:19" s="160" customFormat="1" ht="35.25" customHeight="1">
      <c r="A41" s="1" t="s">
        <v>36</v>
      </c>
      <c r="B41" s="156" t="s">
        <v>1278</v>
      </c>
      <c r="C41" s="157" t="s">
        <v>33</v>
      </c>
      <c r="D41" s="158"/>
      <c r="E41" s="125">
        <f t="shared" si="0"/>
        <v>251</v>
      </c>
      <c r="F41" s="196">
        <v>61</v>
      </c>
      <c r="G41" s="197">
        <v>33</v>
      </c>
      <c r="H41" s="197">
        <v>30</v>
      </c>
      <c r="I41" s="197">
        <v>8</v>
      </c>
      <c r="J41" s="197">
        <v>19</v>
      </c>
      <c r="K41" s="197">
        <v>23</v>
      </c>
      <c r="L41" s="198">
        <v>25</v>
      </c>
      <c r="M41" s="159">
        <v>52</v>
      </c>
      <c r="N41" s="195">
        <v>263</v>
      </c>
      <c r="O41" s="155"/>
      <c r="S41" s="234"/>
    </row>
    <row r="42" spans="1:19" s="160" customFormat="1" ht="43.5" customHeight="1">
      <c r="A42" s="1" t="s">
        <v>35</v>
      </c>
      <c r="B42" s="156" t="s">
        <v>1279</v>
      </c>
      <c r="C42" s="157" t="s">
        <v>33</v>
      </c>
      <c r="D42" s="158"/>
      <c r="E42" s="125">
        <f t="shared" si="0"/>
        <v>5</v>
      </c>
      <c r="F42" s="196"/>
      <c r="G42" s="197"/>
      <c r="H42" s="197"/>
      <c r="I42" s="197"/>
      <c r="J42" s="197">
        <v>3</v>
      </c>
      <c r="K42" s="197"/>
      <c r="L42" s="196"/>
      <c r="M42" s="159">
        <v>2</v>
      </c>
      <c r="N42" s="195">
        <v>5</v>
      </c>
      <c r="O42" s="155"/>
      <c r="S42" s="234"/>
    </row>
    <row r="43" spans="1:19" s="160" customFormat="1" ht="33" customHeight="1">
      <c r="A43" s="1" t="s">
        <v>35</v>
      </c>
      <c r="B43" s="156" t="s">
        <v>25</v>
      </c>
      <c r="C43" s="157" t="s">
        <v>33</v>
      </c>
      <c r="D43" s="158"/>
      <c r="E43" s="125">
        <f t="shared" si="0"/>
        <v>267</v>
      </c>
      <c r="F43" s="197">
        <v>61</v>
      </c>
      <c r="G43" s="197">
        <v>37</v>
      </c>
      <c r="H43" s="197">
        <v>31</v>
      </c>
      <c r="I43" s="197">
        <v>12</v>
      </c>
      <c r="J43" s="197">
        <v>19</v>
      </c>
      <c r="K43" s="197">
        <v>23</v>
      </c>
      <c r="L43" s="197">
        <v>29</v>
      </c>
      <c r="M43" s="159">
        <v>55</v>
      </c>
      <c r="N43" s="195">
        <v>279</v>
      </c>
      <c r="O43" s="155"/>
    </row>
    <row r="44" spans="1:19" s="160" customFormat="1" ht="33" customHeight="1">
      <c r="A44" s="1" t="s">
        <v>36</v>
      </c>
      <c r="B44" s="156" t="s">
        <v>1280</v>
      </c>
      <c r="C44" s="157" t="s">
        <v>34</v>
      </c>
      <c r="D44" s="158"/>
      <c r="E44" s="125">
        <f t="shared" si="0"/>
        <v>5</v>
      </c>
      <c r="F44" s="197"/>
      <c r="G44" s="197">
        <v>1</v>
      </c>
      <c r="H44" s="197"/>
      <c r="I44" s="197"/>
      <c r="J44" s="197">
        <v>2</v>
      </c>
      <c r="K44" s="197"/>
      <c r="L44" s="197"/>
      <c r="M44" s="159">
        <v>2</v>
      </c>
      <c r="N44" s="195">
        <v>5</v>
      </c>
      <c r="O44" s="161"/>
    </row>
    <row r="45" spans="1:19" s="118" customFormat="1" ht="43.5" customHeight="1">
      <c r="A45" s="32">
        <v>17</v>
      </c>
      <c r="B45" s="151" t="s">
        <v>983</v>
      </c>
      <c r="C45" s="151"/>
      <c r="D45" s="153"/>
      <c r="E45" s="124">
        <f t="shared" si="0"/>
        <v>0</v>
      </c>
      <c r="F45" s="153"/>
      <c r="G45" s="153"/>
      <c r="H45" s="153"/>
      <c r="I45" s="153"/>
      <c r="J45" s="153"/>
      <c r="K45" s="153"/>
      <c r="L45" s="153"/>
      <c r="M45" s="153"/>
      <c r="N45" s="153"/>
      <c r="O45" s="151"/>
    </row>
    <row r="46" spans="1:19" s="115" customFormat="1" ht="33" customHeight="1">
      <c r="A46" s="95" t="s">
        <v>967</v>
      </c>
      <c r="B46" s="92" t="s">
        <v>984</v>
      </c>
      <c r="C46" s="95" t="s">
        <v>1286</v>
      </c>
      <c r="D46" s="112"/>
      <c r="E46" s="199">
        <f t="shared" si="0"/>
        <v>56.591999999999999</v>
      </c>
      <c r="F46" s="120">
        <v>0.52</v>
      </c>
      <c r="G46" s="120">
        <v>4.1500000000000004</v>
      </c>
      <c r="H46" s="120">
        <v>12.955</v>
      </c>
      <c r="I46" s="120">
        <v>2</v>
      </c>
      <c r="J46" s="120">
        <v>13.542999999999999</v>
      </c>
      <c r="K46" s="120">
        <v>17.744</v>
      </c>
      <c r="L46" s="120">
        <v>2.13</v>
      </c>
      <c r="M46" s="120">
        <v>3.55</v>
      </c>
      <c r="N46" s="200">
        <v>60.79</v>
      </c>
      <c r="O46" s="148" t="s">
        <v>1311</v>
      </c>
    </row>
    <row r="47" spans="1:19" s="115" customFormat="1" ht="33" customHeight="1">
      <c r="A47" s="95" t="s">
        <v>968</v>
      </c>
      <c r="B47" s="92" t="s">
        <v>985</v>
      </c>
      <c r="C47" s="95" t="s">
        <v>341</v>
      </c>
      <c r="D47" s="112"/>
      <c r="E47" s="178">
        <f t="shared" si="0"/>
        <v>7</v>
      </c>
      <c r="F47" s="178">
        <v>0</v>
      </c>
      <c r="G47" s="178">
        <v>5</v>
      </c>
      <c r="H47" s="178">
        <v>0</v>
      </c>
      <c r="I47" s="178">
        <v>0</v>
      </c>
      <c r="J47" s="178">
        <v>0</v>
      </c>
      <c r="K47" s="178">
        <v>0</v>
      </c>
      <c r="L47" s="178">
        <v>0</v>
      </c>
      <c r="M47" s="113">
        <v>2</v>
      </c>
      <c r="N47" s="201"/>
      <c r="O47" s="114"/>
    </row>
    <row r="48" spans="1:19" s="118" customFormat="1" ht="43.5" customHeight="1">
      <c r="A48" s="32">
        <v>18</v>
      </c>
      <c r="B48" s="31" t="s">
        <v>1282</v>
      </c>
      <c r="C48" s="32" t="s">
        <v>33</v>
      </c>
      <c r="D48" s="106"/>
      <c r="E48" s="124">
        <f t="shared" si="0"/>
        <v>15</v>
      </c>
      <c r="F48" s="124">
        <v>0</v>
      </c>
      <c r="G48" s="124">
        <v>5</v>
      </c>
      <c r="H48" s="124">
        <v>4</v>
      </c>
      <c r="I48" s="124">
        <v>0</v>
      </c>
      <c r="J48" s="124">
        <v>0</v>
      </c>
      <c r="K48" s="124">
        <v>0</v>
      </c>
      <c r="L48" s="124">
        <v>0</v>
      </c>
      <c r="M48" s="116">
        <v>6</v>
      </c>
      <c r="N48" s="117">
        <v>16</v>
      </c>
      <c r="O48" s="117"/>
    </row>
    <row r="49" spans="1:15" s="118" customFormat="1" ht="43.5" customHeight="1">
      <c r="A49" s="32">
        <v>19</v>
      </c>
      <c r="B49" s="99" t="s">
        <v>42</v>
      </c>
      <c r="C49" s="99" t="s">
        <v>43</v>
      </c>
      <c r="D49" s="119">
        <v>14</v>
      </c>
      <c r="E49" s="119">
        <v>40</v>
      </c>
      <c r="F49" s="238">
        <v>7</v>
      </c>
      <c r="G49" s="238">
        <v>9</v>
      </c>
      <c r="H49" s="238">
        <v>1</v>
      </c>
      <c r="I49" s="238">
        <v>0</v>
      </c>
      <c r="J49" s="238">
        <v>0</v>
      </c>
      <c r="K49" s="238">
        <v>3</v>
      </c>
      <c r="L49" s="238">
        <v>17</v>
      </c>
      <c r="M49" s="238">
        <v>3</v>
      </c>
      <c r="N49" s="238">
        <v>41</v>
      </c>
      <c r="O49" s="148" t="s">
        <v>1309</v>
      </c>
    </row>
    <row r="50" spans="1:15">
      <c r="B50" s="24"/>
      <c r="C50" s="24"/>
      <c r="D50" s="24"/>
      <c r="E50" s="20"/>
      <c r="F50" s="24"/>
      <c r="G50" s="24"/>
      <c r="H50" s="24"/>
      <c r="I50" s="24"/>
      <c r="J50" s="24"/>
      <c r="K50" s="24"/>
      <c r="L50" s="24"/>
      <c r="M50" s="24"/>
      <c r="N50" s="165"/>
      <c r="O50" s="163"/>
    </row>
    <row r="51" spans="1:15">
      <c r="B51" s="24"/>
      <c r="C51" s="24"/>
      <c r="D51" s="24"/>
      <c r="E51" s="20"/>
      <c r="F51" s="24"/>
      <c r="G51" s="24"/>
      <c r="H51" s="24"/>
      <c r="I51" s="24"/>
      <c r="J51" s="24"/>
      <c r="K51" s="24"/>
      <c r="L51" s="24"/>
      <c r="M51" s="24"/>
      <c r="N51" s="165"/>
      <c r="O51" s="163"/>
    </row>
    <row r="52" spans="1:15" ht="18.75">
      <c r="B52" s="27"/>
      <c r="C52" s="27"/>
      <c r="D52" s="27"/>
      <c r="E52" s="94"/>
      <c r="F52" s="27"/>
      <c r="G52" s="27"/>
      <c r="H52" s="27"/>
      <c r="I52" s="27"/>
      <c r="J52" s="27"/>
      <c r="K52" s="24"/>
      <c r="L52" s="24"/>
      <c r="M52" s="24"/>
      <c r="N52" s="165"/>
      <c r="O52" s="163"/>
    </row>
    <row r="53" spans="1:15">
      <c r="B53" s="24"/>
      <c r="C53" s="24"/>
      <c r="D53" s="24"/>
      <c r="E53" s="20"/>
      <c r="F53" s="24"/>
      <c r="G53" s="24"/>
      <c r="H53" s="24"/>
      <c r="I53" s="24"/>
      <c r="J53" s="24"/>
      <c r="K53" s="24"/>
      <c r="L53" s="24"/>
      <c r="M53" s="24"/>
      <c r="N53" s="165"/>
      <c r="O53" s="163"/>
    </row>
    <row r="54" spans="1:15">
      <c r="B54" s="24"/>
      <c r="C54" s="24"/>
      <c r="D54" s="24"/>
      <c r="E54" s="20"/>
      <c r="F54" s="24"/>
      <c r="G54" s="24"/>
      <c r="H54" s="24"/>
      <c r="I54" s="24"/>
      <c r="J54" s="24"/>
      <c r="K54" s="24"/>
      <c r="L54" s="24"/>
      <c r="M54" s="24"/>
      <c r="N54" s="165"/>
      <c r="O54" s="163"/>
    </row>
    <row r="55" spans="1:15">
      <c r="B55" s="24"/>
      <c r="C55" s="24"/>
      <c r="D55" s="24"/>
      <c r="E55" s="20"/>
      <c r="F55" s="24"/>
      <c r="G55" s="24"/>
      <c r="H55" s="24"/>
      <c r="I55" s="24"/>
      <c r="J55" s="24"/>
      <c r="K55" s="24"/>
      <c r="L55" s="24"/>
      <c r="M55" s="24"/>
      <c r="N55" s="165"/>
      <c r="O55" s="163"/>
    </row>
    <row r="56" spans="1:15">
      <c r="B56" s="24"/>
      <c r="C56" s="24"/>
      <c r="D56" s="24"/>
      <c r="E56" s="20"/>
      <c r="F56" s="24"/>
      <c r="G56" s="24"/>
      <c r="H56" s="24"/>
      <c r="I56" s="24"/>
      <c r="J56" s="24"/>
      <c r="K56" s="24"/>
      <c r="L56" s="24"/>
      <c r="M56" s="24"/>
      <c r="N56" s="165"/>
      <c r="O56" s="163"/>
    </row>
    <row r="57" spans="1:15">
      <c r="B57" s="24"/>
      <c r="C57" s="24"/>
      <c r="D57" s="24"/>
      <c r="E57" s="20"/>
      <c r="F57" s="24"/>
      <c r="G57" s="24"/>
      <c r="H57" s="24"/>
      <c r="I57" s="24"/>
      <c r="J57" s="24"/>
      <c r="K57" s="24"/>
      <c r="L57" s="24"/>
      <c r="M57" s="24"/>
      <c r="N57" s="165"/>
      <c r="O57" s="163"/>
    </row>
    <row r="58" spans="1:15">
      <c r="B58" s="24"/>
      <c r="C58" s="24"/>
      <c r="D58" s="24"/>
      <c r="E58" s="20"/>
      <c r="F58" s="24"/>
      <c r="G58" s="24"/>
      <c r="H58" s="24"/>
      <c r="I58" s="24"/>
      <c r="J58" s="24"/>
      <c r="K58" s="24"/>
      <c r="L58" s="24"/>
      <c r="M58" s="24"/>
      <c r="N58" s="165"/>
      <c r="O58" s="163"/>
    </row>
    <row r="59" spans="1:15">
      <c r="B59" s="24"/>
      <c r="C59" s="24"/>
      <c r="D59" s="24"/>
      <c r="E59" s="20"/>
      <c r="F59" s="24"/>
      <c r="G59" s="24"/>
      <c r="H59" s="24"/>
      <c r="I59" s="24"/>
      <c r="J59" s="24"/>
      <c r="K59" s="24"/>
      <c r="L59" s="24"/>
      <c r="M59" s="24"/>
      <c r="N59" s="165"/>
      <c r="O59" s="163"/>
    </row>
    <row r="60" spans="1:15">
      <c r="B60" s="24"/>
      <c r="C60" s="24"/>
      <c r="D60" s="24"/>
      <c r="E60" s="20"/>
      <c r="F60" s="24"/>
      <c r="G60" s="24"/>
      <c r="H60" s="24"/>
      <c r="I60" s="24"/>
      <c r="J60" s="24"/>
      <c r="K60" s="24"/>
      <c r="L60" s="24"/>
      <c r="M60" s="24"/>
      <c r="N60" s="165"/>
      <c r="O60" s="163"/>
    </row>
    <row r="61" spans="1:15">
      <c r="B61" s="24"/>
      <c r="C61" s="24"/>
      <c r="D61" s="24"/>
      <c r="E61" s="20"/>
      <c r="F61" s="24"/>
      <c r="G61" s="24"/>
      <c r="H61" s="24"/>
      <c r="I61" s="24"/>
      <c r="J61" s="24"/>
      <c r="K61" s="24"/>
      <c r="L61" s="24"/>
      <c r="M61" s="24"/>
      <c r="N61" s="165"/>
      <c r="O61" s="163"/>
    </row>
    <row r="62" spans="1:15">
      <c r="B62" s="24"/>
      <c r="C62" s="24"/>
      <c r="D62" s="24"/>
      <c r="E62" s="20"/>
      <c r="F62" s="24"/>
      <c r="G62" s="24"/>
      <c r="H62" s="24"/>
      <c r="I62" s="24"/>
      <c r="J62" s="24"/>
      <c r="K62" s="24"/>
      <c r="L62" s="24"/>
      <c r="M62" s="24"/>
      <c r="N62" s="165"/>
      <c r="O62" s="163"/>
    </row>
    <row r="63" spans="1:15">
      <c r="B63" s="24"/>
      <c r="C63" s="24"/>
      <c r="D63" s="24"/>
      <c r="E63" s="20"/>
      <c r="F63" s="24"/>
      <c r="G63" s="24"/>
      <c r="H63" s="24"/>
      <c r="I63" s="24"/>
      <c r="J63" s="24"/>
      <c r="K63" s="24"/>
      <c r="L63" s="24"/>
      <c r="M63" s="24"/>
      <c r="N63" s="165"/>
      <c r="O63" s="163"/>
    </row>
    <row r="64" spans="1:15">
      <c r="B64" s="24"/>
      <c r="C64" s="24"/>
      <c r="D64" s="24"/>
      <c r="E64" s="20"/>
      <c r="F64" s="24"/>
      <c r="G64" s="24"/>
      <c r="H64" s="24"/>
      <c r="I64" s="24"/>
      <c r="J64" s="24"/>
      <c r="K64" s="24"/>
      <c r="L64" s="24"/>
      <c r="M64" s="24"/>
      <c r="N64" s="165"/>
      <c r="O64" s="163"/>
    </row>
    <row r="65" spans="2:15">
      <c r="B65" s="24"/>
      <c r="C65" s="24"/>
      <c r="D65" s="24"/>
      <c r="E65" s="20"/>
      <c r="F65" s="24"/>
      <c r="G65" s="24"/>
      <c r="H65" s="24"/>
      <c r="I65" s="24"/>
      <c r="J65" s="24"/>
      <c r="K65" s="24"/>
      <c r="L65" s="24"/>
      <c r="M65" s="24"/>
      <c r="N65" s="165"/>
      <c r="O65" s="163"/>
    </row>
    <row r="66" spans="2:15">
      <c r="B66" s="24"/>
      <c r="C66" s="24"/>
      <c r="D66" s="24"/>
      <c r="E66" s="20"/>
      <c r="F66" s="24"/>
      <c r="G66" s="24"/>
      <c r="H66" s="24"/>
      <c r="I66" s="24"/>
      <c r="J66" s="24"/>
      <c r="K66" s="24"/>
      <c r="L66" s="24"/>
      <c r="M66" s="24"/>
      <c r="N66" s="165"/>
      <c r="O66" s="163"/>
    </row>
    <row r="67" spans="2:15">
      <c r="B67" s="24"/>
      <c r="C67" s="24"/>
      <c r="D67" s="24"/>
      <c r="E67" s="20"/>
      <c r="F67" s="24"/>
      <c r="G67" s="24"/>
      <c r="H67" s="24"/>
      <c r="I67" s="24"/>
      <c r="J67" s="24"/>
      <c r="K67" s="24"/>
      <c r="L67" s="24"/>
      <c r="M67" s="24"/>
      <c r="N67" s="165"/>
      <c r="O67" s="163"/>
    </row>
    <row r="68" spans="2:15">
      <c r="B68" s="24"/>
      <c r="C68" s="24"/>
      <c r="D68" s="24"/>
      <c r="E68" s="20"/>
      <c r="F68" s="24"/>
      <c r="G68" s="24"/>
      <c r="H68" s="24"/>
      <c r="I68" s="24"/>
      <c r="J68" s="24"/>
      <c r="K68" s="24"/>
      <c r="L68" s="24"/>
      <c r="M68" s="24"/>
      <c r="N68" s="165"/>
      <c r="O68" s="163"/>
    </row>
    <row r="69" spans="2:15">
      <c r="B69" s="24"/>
      <c r="C69" s="24"/>
      <c r="D69" s="24"/>
      <c r="E69" s="20"/>
      <c r="F69" s="24"/>
      <c r="G69" s="24"/>
      <c r="H69" s="24"/>
      <c r="I69" s="24"/>
      <c r="J69" s="24"/>
      <c r="K69" s="24"/>
      <c r="L69" s="24"/>
      <c r="M69" s="24"/>
      <c r="N69" s="165"/>
      <c r="O69" s="163"/>
    </row>
    <row r="70" spans="2:15">
      <c r="B70" s="24"/>
      <c r="C70" s="24"/>
      <c r="D70" s="24"/>
      <c r="E70" s="20"/>
      <c r="F70" s="24"/>
      <c r="G70" s="24"/>
      <c r="H70" s="24"/>
      <c r="I70" s="24"/>
      <c r="J70" s="24"/>
      <c r="K70" s="24"/>
      <c r="L70" s="24"/>
      <c r="M70" s="24"/>
      <c r="N70" s="165"/>
      <c r="O70" s="163"/>
    </row>
    <row r="71" spans="2:15">
      <c r="B71" s="24"/>
      <c r="C71" s="24"/>
      <c r="D71" s="24"/>
      <c r="E71" s="20"/>
      <c r="F71" s="24"/>
      <c r="G71" s="24"/>
      <c r="H71" s="24"/>
      <c r="I71" s="24"/>
      <c r="J71" s="24"/>
      <c r="K71" s="24"/>
      <c r="L71" s="24"/>
      <c r="M71" s="24"/>
      <c r="N71" s="165"/>
      <c r="O71" s="163"/>
    </row>
    <row r="72" spans="2:15">
      <c r="B72" s="24"/>
      <c r="C72" s="24"/>
      <c r="D72" s="24"/>
      <c r="E72" s="20"/>
      <c r="F72" s="24"/>
      <c r="G72" s="24"/>
      <c r="H72" s="24"/>
      <c r="I72" s="24"/>
      <c r="J72" s="24"/>
      <c r="K72" s="24"/>
      <c r="L72" s="24"/>
      <c r="M72" s="24"/>
      <c r="N72" s="165"/>
      <c r="O72" s="163"/>
    </row>
    <row r="73" spans="2:15">
      <c r="B73" s="24"/>
      <c r="C73" s="24"/>
      <c r="D73" s="24"/>
      <c r="E73" s="20"/>
      <c r="F73" s="24"/>
      <c r="G73" s="24"/>
      <c r="H73" s="24"/>
      <c r="I73" s="24"/>
      <c r="J73" s="24"/>
      <c r="K73" s="24"/>
      <c r="L73" s="24"/>
      <c r="M73" s="24"/>
      <c r="N73" s="165"/>
      <c r="O73" s="163"/>
    </row>
    <row r="74" spans="2:15">
      <c r="B74" s="24"/>
      <c r="C74" s="24"/>
      <c r="D74" s="24"/>
      <c r="E74" s="20"/>
      <c r="F74" s="24"/>
      <c r="G74" s="24"/>
      <c r="H74" s="24"/>
      <c r="I74" s="24"/>
      <c r="J74" s="24"/>
      <c r="K74" s="24"/>
      <c r="L74" s="24"/>
      <c r="M74" s="24"/>
      <c r="N74" s="165"/>
      <c r="O74" s="163"/>
    </row>
    <row r="75" spans="2:15">
      <c r="B75" s="24"/>
      <c r="C75" s="24"/>
      <c r="D75" s="24"/>
      <c r="E75" s="20"/>
      <c r="F75" s="24"/>
      <c r="G75" s="24"/>
      <c r="H75" s="24"/>
      <c r="I75" s="24"/>
      <c r="J75" s="24"/>
      <c r="K75" s="24"/>
      <c r="L75" s="24"/>
      <c r="M75" s="24"/>
      <c r="N75" s="165"/>
      <c r="O75" s="163"/>
    </row>
    <row r="76" spans="2:15">
      <c r="B76" s="24"/>
      <c r="C76" s="24"/>
      <c r="D76" s="24"/>
      <c r="E76" s="20"/>
      <c r="F76" s="24"/>
      <c r="G76" s="24"/>
      <c r="H76" s="24"/>
      <c r="I76" s="24"/>
      <c r="J76" s="24"/>
      <c r="K76" s="24"/>
      <c r="L76" s="24"/>
      <c r="M76" s="24"/>
      <c r="N76" s="165"/>
      <c r="O76" s="163"/>
    </row>
    <row r="77" spans="2:15">
      <c r="B77" s="24"/>
      <c r="C77" s="24"/>
      <c r="D77" s="24"/>
      <c r="E77" s="20"/>
      <c r="F77" s="24"/>
      <c r="G77" s="24"/>
      <c r="H77" s="24"/>
      <c r="I77" s="24"/>
      <c r="J77" s="24"/>
      <c r="K77" s="24"/>
      <c r="L77" s="24"/>
      <c r="M77" s="24"/>
      <c r="N77" s="165"/>
      <c r="O77" s="163"/>
    </row>
    <row r="78" spans="2:15">
      <c r="B78" s="24"/>
      <c r="C78" s="24"/>
      <c r="D78" s="24"/>
      <c r="E78" s="20"/>
      <c r="F78" s="24"/>
      <c r="G78" s="24"/>
      <c r="H78" s="24"/>
      <c r="I78" s="24"/>
      <c r="J78" s="24"/>
      <c r="K78" s="24"/>
      <c r="L78" s="24"/>
      <c r="M78" s="24"/>
      <c r="N78" s="165"/>
      <c r="O78" s="163"/>
    </row>
    <row r="79" spans="2:15">
      <c r="B79" s="24"/>
      <c r="C79" s="24"/>
      <c r="D79" s="24"/>
      <c r="E79" s="20"/>
      <c r="F79" s="24"/>
      <c r="G79" s="24"/>
      <c r="H79" s="24"/>
      <c r="I79" s="24"/>
      <c r="J79" s="24"/>
      <c r="K79" s="24"/>
      <c r="L79" s="24"/>
      <c r="M79" s="24"/>
      <c r="N79" s="165"/>
      <c r="O79" s="163"/>
    </row>
  </sheetData>
  <mergeCells count="9">
    <mergeCell ref="A1:O1"/>
    <mergeCell ref="A2:O2"/>
    <mergeCell ref="F4:M4"/>
    <mergeCell ref="D4:D5"/>
    <mergeCell ref="A4:A5"/>
    <mergeCell ref="B4:B5"/>
    <mergeCell ref="C4:C5"/>
    <mergeCell ref="E4:E5"/>
    <mergeCell ref="N4:O4"/>
  </mergeCells>
  <printOptions horizontalCentered="1"/>
  <pageMargins left="0.3" right="0.3" top="0.6" bottom="0.3" header="0.3" footer="0.3"/>
  <pageSetup paperSize="9" scale="60" orientation="landscape" r:id="rId1"/>
  <headerFooter>
    <oddHeader>Page &amp;P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zoomScale="85" zoomScaleNormal="85" workbookViewId="0">
      <selection activeCell="B13" sqref="B13"/>
    </sheetView>
  </sheetViews>
  <sheetFormatPr defaultColWidth="8.625" defaultRowHeight="18.75"/>
  <cols>
    <col min="1" max="1" width="9.5" style="12" customWidth="1"/>
    <col min="2" max="2" width="44.125" style="12" customWidth="1"/>
    <col min="3" max="3" width="37" style="12" customWidth="1"/>
    <col min="4" max="4" width="17.375" style="12" customWidth="1"/>
    <col min="5" max="7" width="8.625" style="12"/>
    <col min="8" max="8" width="21.75" style="12" bestFit="1" customWidth="1"/>
    <col min="9" max="16384" width="8.625" style="12"/>
  </cols>
  <sheetData>
    <row r="1" spans="1:8" ht="41.25" customHeight="1">
      <c r="A1" s="342" t="s">
        <v>1316</v>
      </c>
      <c r="B1" s="343"/>
      <c r="C1" s="343"/>
    </row>
    <row r="2" spans="1:8" ht="33" customHeight="1">
      <c r="A2" s="344" t="str">
        <f>'B3 chi tiết'!A2:O2</f>
        <v>(Kèm theo Báo cáo số 134-BC/TU, ngày 02/3/2026 của Ban Chấp hành Đảng bộ tỉnh)
-----</v>
      </c>
      <c r="B2" s="344"/>
      <c r="C2" s="344"/>
    </row>
    <row r="3" spans="1:8" ht="9" customHeight="1">
      <c r="A3" s="107"/>
      <c r="B3" s="107"/>
      <c r="C3" s="107"/>
    </row>
    <row r="4" spans="1:8" ht="17.25" customHeight="1">
      <c r="A4" s="341" t="s">
        <v>0</v>
      </c>
      <c r="B4" s="341" t="s">
        <v>301</v>
      </c>
      <c r="C4" s="345" t="s">
        <v>1317</v>
      </c>
    </row>
    <row r="5" spans="1:8" ht="17.25" customHeight="1">
      <c r="A5" s="341"/>
      <c r="B5" s="341"/>
      <c r="C5" s="346"/>
    </row>
    <row r="6" spans="1:8" s="17" customFormat="1" ht="35.25" customHeight="1">
      <c r="A6" s="32">
        <v>1</v>
      </c>
      <c r="B6" s="34" t="s">
        <v>1271</v>
      </c>
      <c r="C6" s="25">
        <v>3699.4</v>
      </c>
    </row>
    <row r="7" spans="1:8" s="17" customFormat="1" ht="33.75" customHeight="1">
      <c r="A7" s="32">
        <v>2</v>
      </c>
      <c r="B7" s="23" t="s">
        <v>1272</v>
      </c>
      <c r="C7" s="25">
        <f>+C8+C9+C10</f>
        <v>106905.76000000001</v>
      </c>
    </row>
    <row r="8" spans="1:8" ht="28.5" customHeight="1">
      <c r="A8" s="6" t="s">
        <v>50</v>
      </c>
      <c r="B8" s="22" t="s">
        <v>334</v>
      </c>
      <c r="C8" s="26">
        <v>104530.91</v>
      </c>
    </row>
    <row r="9" spans="1:8" ht="28.5" customHeight="1">
      <c r="A9" s="6" t="s">
        <v>50</v>
      </c>
      <c r="B9" s="22" t="s">
        <v>335</v>
      </c>
      <c r="C9" s="26">
        <v>1168.3499999999999</v>
      </c>
    </row>
    <row r="10" spans="1:8" ht="28.5" customHeight="1">
      <c r="A10" s="6" t="s">
        <v>50</v>
      </c>
      <c r="B10" s="22" t="s">
        <v>336</v>
      </c>
      <c r="C10" s="26">
        <v>1206.5</v>
      </c>
    </row>
    <row r="11" spans="1:8" s="17" customFormat="1" ht="28.5" customHeight="1">
      <c r="A11" s="32">
        <v>3</v>
      </c>
      <c r="B11" s="23" t="s">
        <v>337</v>
      </c>
      <c r="C11" s="25">
        <v>25119.94</v>
      </c>
    </row>
    <row r="12" spans="1:8" s="17" customFormat="1" ht="28.5" customHeight="1">
      <c r="A12" s="32">
        <v>4</v>
      </c>
      <c r="B12" s="23" t="s">
        <v>338</v>
      </c>
      <c r="C12" s="25">
        <f>+C13+C14</f>
        <v>12522.84</v>
      </c>
    </row>
    <row r="13" spans="1:8" ht="28.5" customHeight="1">
      <c r="A13" s="6" t="s">
        <v>50</v>
      </c>
      <c r="B13" s="35" t="s">
        <v>339</v>
      </c>
      <c r="C13" s="26">
        <v>12522.84</v>
      </c>
    </row>
    <row r="14" spans="1:8" ht="28.5" customHeight="1">
      <c r="A14" s="6" t="s">
        <v>50</v>
      </c>
      <c r="B14" s="35" t="s">
        <v>340</v>
      </c>
      <c r="C14" s="26"/>
    </row>
    <row r="15" spans="1:8" s="17" customFormat="1" ht="28.5" customHeight="1">
      <c r="A15" s="29">
        <v>5</v>
      </c>
      <c r="B15" s="23" t="s">
        <v>316</v>
      </c>
      <c r="C15" s="25">
        <f t="shared" ref="C15" si="0">C16+C17+C18+C19</f>
        <v>30524.084999999999</v>
      </c>
    </row>
    <row r="16" spans="1:8" s="17" customFormat="1" ht="28.5" customHeight="1">
      <c r="A16" s="29" t="s">
        <v>50</v>
      </c>
      <c r="B16" s="30" t="s">
        <v>309</v>
      </c>
      <c r="C16" s="26">
        <v>18479.852999999999</v>
      </c>
      <c r="H16" s="231"/>
    </row>
    <row r="17" spans="1:8" s="17" customFormat="1" ht="29.25" customHeight="1">
      <c r="A17" s="29" t="s">
        <v>50</v>
      </c>
      <c r="B17" s="30" t="s">
        <v>310</v>
      </c>
      <c r="C17" s="26">
        <v>10596.57</v>
      </c>
    </row>
    <row r="18" spans="1:8" ht="29.25" customHeight="1">
      <c r="A18" s="6" t="s">
        <v>50</v>
      </c>
      <c r="B18" s="30" t="s">
        <v>311</v>
      </c>
      <c r="C18" s="26">
        <v>1327.662</v>
      </c>
    </row>
    <row r="19" spans="1:8" ht="29.25" customHeight="1">
      <c r="A19" s="6" t="s">
        <v>50</v>
      </c>
      <c r="B19" s="30" t="s">
        <v>312</v>
      </c>
      <c r="C19" s="26">
        <v>120</v>
      </c>
      <c r="H19" s="12" t="s">
        <v>88</v>
      </c>
    </row>
    <row r="20" spans="1:8" s="17" customFormat="1" ht="33.75" customHeight="1">
      <c r="A20" s="29">
        <v>6</v>
      </c>
      <c r="B20" s="90" t="s">
        <v>964</v>
      </c>
      <c r="C20" s="25">
        <f>+C21+C24</f>
        <v>2957.1079999999997</v>
      </c>
    </row>
    <row r="21" spans="1:8" s="94" customFormat="1" ht="33.75" customHeight="1">
      <c r="A21" s="91" t="s">
        <v>1339</v>
      </c>
      <c r="B21" s="92" t="s">
        <v>20</v>
      </c>
      <c r="C21" s="93">
        <f t="shared" ref="C21" si="1">C22+C23</f>
        <v>2716.14</v>
      </c>
    </row>
    <row r="22" spans="1:8" ht="33.75" customHeight="1">
      <c r="A22" s="6" t="s">
        <v>50</v>
      </c>
      <c r="B22" s="30" t="s">
        <v>309</v>
      </c>
      <c r="C22" s="26">
        <v>540.4</v>
      </c>
    </row>
    <row r="23" spans="1:8" ht="33.75" customHeight="1">
      <c r="A23" s="6" t="s">
        <v>50</v>
      </c>
      <c r="B23" s="30" t="s">
        <v>310</v>
      </c>
      <c r="C23" s="26">
        <v>2175.7399999999998</v>
      </c>
    </row>
    <row r="24" spans="1:8" s="94" customFormat="1" ht="33.75" customHeight="1">
      <c r="A24" s="91" t="s">
        <v>1340</v>
      </c>
      <c r="B24" s="92" t="s">
        <v>21</v>
      </c>
      <c r="C24" s="93">
        <f t="shared" ref="C24" si="2">C25+C26</f>
        <v>240.96799999999999</v>
      </c>
    </row>
    <row r="25" spans="1:8" ht="33.75" customHeight="1">
      <c r="A25" s="6" t="s">
        <v>50</v>
      </c>
      <c r="B25" s="30" t="s">
        <v>309</v>
      </c>
      <c r="C25" s="26">
        <v>156.96799999999999</v>
      </c>
    </row>
    <row r="26" spans="1:8" ht="33.75" customHeight="1">
      <c r="A26" s="6" t="s">
        <v>50</v>
      </c>
      <c r="B26" s="30" t="s">
        <v>310</v>
      </c>
      <c r="C26" s="16">
        <v>84</v>
      </c>
    </row>
    <row r="27" spans="1:8" s="17" customFormat="1" ht="33.75" customHeight="1">
      <c r="A27" s="29">
        <v>7</v>
      </c>
      <c r="B27" s="31" t="s">
        <v>22</v>
      </c>
      <c r="C27" s="33">
        <v>7451.3379999999997</v>
      </c>
    </row>
    <row r="28" spans="1:8" s="17" customFormat="1" ht="33.75" customHeight="1">
      <c r="A28" s="32">
        <v>8</v>
      </c>
      <c r="B28" s="23" t="s">
        <v>317</v>
      </c>
      <c r="C28" s="33">
        <v>4741.1000000000004</v>
      </c>
    </row>
    <row r="29" spans="1:8" s="17" customFormat="1" ht="33.75" customHeight="1">
      <c r="A29" s="32">
        <v>9</v>
      </c>
      <c r="B29" s="23" t="s">
        <v>318</v>
      </c>
      <c r="C29" s="33">
        <f t="shared" ref="C29" si="3">C30+C31</f>
        <v>8916.6319000000003</v>
      </c>
    </row>
    <row r="30" spans="1:8" s="94" customFormat="1" ht="33.75" customHeight="1">
      <c r="A30" s="91" t="s">
        <v>50</v>
      </c>
      <c r="B30" s="96" t="s">
        <v>314</v>
      </c>
      <c r="C30" s="111">
        <v>8757.5319</v>
      </c>
    </row>
    <row r="31" spans="1:8" s="94" customFormat="1" ht="33.75" customHeight="1">
      <c r="A31" s="91" t="s">
        <v>50</v>
      </c>
      <c r="B31" s="96" t="s">
        <v>315</v>
      </c>
      <c r="C31" s="111">
        <v>159.1</v>
      </c>
    </row>
    <row r="32" spans="1:8" s="17" customFormat="1" ht="33.75" customHeight="1">
      <c r="A32" s="32">
        <v>10</v>
      </c>
      <c r="B32" s="34" t="s">
        <v>342</v>
      </c>
      <c r="C32" s="25">
        <v>11655.377</v>
      </c>
    </row>
    <row r="33" spans="1:3" s="17" customFormat="1" ht="33.75" customHeight="1">
      <c r="A33" s="32">
        <v>11</v>
      </c>
      <c r="B33" s="34" t="s">
        <v>961</v>
      </c>
      <c r="C33" s="25">
        <f>+C34+C35</f>
        <v>4035.16</v>
      </c>
    </row>
    <row r="34" spans="1:3" s="94" customFormat="1" ht="33.75" customHeight="1">
      <c r="A34" s="91" t="s">
        <v>50</v>
      </c>
      <c r="B34" s="89" t="s">
        <v>26</v>
      </c>
      <c r="C34" s="93">
        <v>3809.43</v>
      </c>
    </row>
    <row r="35" spans="1:3" s="94" customFormat="1" ht="33.75" customHeight="1">
      <c r="A35" s="91" t="s">
        <v>50</v>
      </c>
      <c r="B35" s="96" t="s">
        <v>343</v>
      </c>
      <c r="C35" s="93">
        <v>225.73</v>
      </c>
    </row>
    <row r="36" spans="1:3" s="17" customFormat="1" ht="33.75" customHeight="1">
      <c r="A36" s="32">
        <v>12</v>
      </c>
      <c r="B36" s="23" t="s">
        <v>344</v>
      </c>
      <c r="C36" s="25">
        <v>1043.82</v>
      </c>
    </row>
    <row r="37" spans="1:3" s="17" customFormat="1" ht="33.75" customHeight="1">
      <c r="A37" s="32">
        <v>13</v>
      </c>
      <c r="B37" s="23" t="s">
        <v>345</v>
      </c>
      <c r="C37" s="25">
        <v>25126.93</v>
      </c>
    </row>
    <row r="38" spans="1:3" s="17" customFormat="1" ht="33.75" customHeight="1">
      <c r="A38" s="21"/>
      <c r="B38" s="21" t="s">
        <v>41</v>
      </c>
      <c r="C38" s="254">
        <f>+C6+C7+C11+C12+C15+C20+C27+C28+C29+C32+C33+C36+C37</f>
        <v>244699.48990000002</v>
      </c>
    </row>
    <row r="39" spans="1:3">
      <c r="C39" s="18"/>
    </row>
    <row r="40" spans="1:3">
      <c r="C40" s="18"/>
    </row>
    <row r="41" spans="1:3">
      <c r="C41" s="18"/>
    </row>
    <row r="46" spans="1:3" ht="19.5">
      <c r="B46" s="19"/>
    </row>
    <row r="47" spans="1:3" ht="19.5">
      <c r="B47" s="19"/>
    </row>
    <row r="48" spans="1:3">
      <c r="B48" s="18"/>
    </row>
  </sheetData>
  <mergeCells count="5">
    <mergeCell ref="A4:A5"/>
    <mergeCell ref="B4:B5"/>
    <mergeCell ref="A1:C1"/>
    <mergeCell ref="A2:C2"/>
    <mergeCell ref="C4:C5"/>
  </mergeCells>
  <printOptions horizontalCentered="1"/>
  <pageMargins left="0.3" right="0.3" top="0.51" bottom="0.3" header="0.3" footer="0.3"/>
  <pageSetup paperSize="9" scale="99" fitToHeight="0" orientation="portrait" r:id="rId1"/>
  <headerFooter>
    <oddHeader>Page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view="pageBreakPreview" zoomScaleNormal="85" zoomScaleSheetLayoutView="100" workbookViewId="0">
      <selection activeCell="B6" sqref="B6"/>
    </sheetView>
  </sheetViews>
  <sheetFormatPr defaultColWidth="8.625" defaultRowHeight="15.75"/>
  <cols>
    <col min="1" max="1" width="7.125" style="40" customWidth="1"/>
    <col min="2" max="2" width="63.125" style="43" customWidth="1"/>
    <col min="3" max="3" width="12.125" style="41" customWidth="1"/>
    <col min="4" max="4" width="12" style="42" customWidth="1"/>
    <col min="5" max="5" width="15.5" style="41" customWidth="1"/>
    <col min="6" max="6" width="20.625" style="41" customWidth="1"/>
    <col min="7" max="7" width="18.875" style="102" customWidth="1"/>
    <col min="8" max="16384" width="8.625" style="40"/>
  </cols>
  <sheetData>
    <row r="1" spans="1:7" ht="27.75" customHeight="1">
      <c r="A1" s="350" t="s">
        <v>1344</v>
      </c>
      <c r="B1" s="350"/>
      <c r="C1" s="350"/>
      <c r="D1" s="350"/>
      <c r="E1" s="350"/>
      <c r="F1" s="350"/>
      <c r="G1" s="350"/>
    </row>
    <row r="2" spans="1:7" ht="36.6" customHeight="1">
      <c r="A2" s="354" t="str">
        <f>'B4 Vốn'!A2:C2</f>
        <v>(Kèm theo Báo cáo số 134-BC/TU, ngày 02/3/2026 của Ban Chấp hành Đảng bộ tỉnh)
-----</v>
      </c>
      <c r="B2" s="355"/>
      <c r="C2" s="355"/>
      <c r="D2" s="355"/>
      <c r="E2" s="355"/>
      <c r="F2" s="355"/>
      <c r="G2" s="355"/>
    </row>
    <row r="3" spans="1:7" ht="35.25" customHeight="1">
      <c r="A3" s="351" t="s">
        <v>56</v>
      </c>
      <c r="B3" s="351" t="s">
        <v>57</v>
      </c>
      <c r="C3" s="352" t="s">
        <v>475</v>
      </c>
      <c r="D3" s="353" t="s">
        <v>58</v>
      </c>
      <c r="E3" s="352" t="s">
        <v>59</v>
      </c>
      <c r="F3" s="352" t="s">
        <v>474</v>
      </c>
      <c r="G3" s="352" t="s">
        <v>60</v>
      </c>
    </row>
    <row r="4" spans="1:7" ht="31.5" customHeight="1">
      <c r="A4" s="351"/>
      <c r="B4" s="351"/>
      <c r="C4" s="352"/>
      <c r="D4" s="353"/>
      <c r="E4" s="352"/>
      <c r="F4" s="352"/>
      <c r="G4" s="352"/>
    </row>
    <row r="5" spans="1:7" ht="29.25" customHeight="1">
      <c r="A5" s="49" t="s">
        <v>61</v>
      </c>
      <c r="B5" s="48" t="s">
        <v>62</v>
      </c>
      <c r="C5" s="38">
        <f>SUM(C6:C7)</f>
        <v>200</v>
      </c>
      <c r="D5" s="39"/>
      <c r="E5" s="38">
        <f>SUM(E6:E11)</f>
        <v>27551.552</v>
      </c>
      <c r="F5" s="38"/>
      <c r="G5" s="49"/>
    </row>
    <row r="6" spans="1:7" ht="45" customHeight="1">
      <c r="A6" s="44">
        <v>1</v>
      </c>
      <c r="B6" s="45" t="s">
        <v>63</v>
      </c>
      <c r="C6" s="7">
        <v>150</v>
      </c>
      <c r="D6" s="7" t="s">
        <v>64</v>
      </c>
      <c r="E6" s="7">
        <v>11115</v>
      </c>
      <c r="F6" s="44" t="s">
        <v>473</v>
      </c>
      <c r="G6" s="44" t="s">
        <v>988</v>
      </c>
    </row>
    <row r="7" spans="1:7" ht="34.5" customHeight="1">
      <c r="A7" s="44">
        <v>2</v>
      </c>
      <c r="B7" s="45" t="s">
        <v>65</v>
      </c>
      <c r="C7" s="7">
        <v>50</v>
      </c>
      <c r="D7" s="7" t="s">
        <v>66</v>
      </c>
      <c r="E7" s="7">
        <v>2847</v>
      </c>
      <c r="F7" s="44" t="s">
        <v>472</v>
      </c>
      <c r="G7" s="348" t="s">
        <v>988</v>
      </c>
    </row>
    <row r="8" spans="1:7" ht="53.25" customHeight="1">
      <c r="A8" s="44">
        <v>3</v>
      </c>
      <c r="B8" s="45" t="s">
        <v>346</v>
      </c>
      <c r="C8" s="7">
        <v>49</v>
      </c>
      <c r="D8" s="7" t="s">
        <v>66</v>
      </c>
      <c r="E8" s="57">
        <v>1887.7860000000001</v>
      </c>
      <c r="F8" s="44" t="s">
        <v>471</v>
      </c>
      <c r="G8" s="349"/>
    </row>
    <row r="9" spans="1:7" ht="42.75" customHeight="1">
      <c r="A9" s="44">
        <v>4</v>
      </c>
      <c r="B9" s="45" t="s">
        <v>347</v>
      </c>
      <c r="C9" s="7">
        <v>38</v>
      </c>
      <c r="D9" s="7" t="s">
        <v>66</v>
      </c>
      <c r="E9" s="57">
        <v>1192.3800000000001</v>
      </c>
      <c r="F9" s="44" t="s">
        <v>469</v>
      </c>
      <c r="G9" s="348" t="s">
        <v>986</v>
      </c>
    </row>
    <row r="10" spans="1:7" ht="74.25" customHeight="1">
      <c r="A10" s="44">
        <v>5</v>
      </c>
      <c r="B10" s="45" t="s">
        <v>348</v>
      </c>
      <c r="C10" s="7">
        <v>95</v>
      </c>
      <c r="D10" s="7" t="s">
        <v>74</v>
      </c>
      <c r="E10" s="57">
        <v>7262.9760000000006</v>
      </c>
      <c r="F10" s="44" t="s">
        <v>470</v>
      </c>
      <c r="G10" s="349"/>
    </row>
    <row r="11" spans="1:7" ht="69" customHeight="1">
      <c r="A11" s="44">
        <v>6</v>
      </c>
      <c r="B11" s="45" t="s">
        <v>349</v>
      </c>
      <c r="C11" s="7"/>
      <c r="D11" s="7"/>
      <c r="E11" s="57">
        <v>3246.41</v>
      </c>
      <c r="F11" s="44" t="s">
        <v>469</v>
      </c>
      <c r="G11" s="44" t="s">
        <v>987</v>
      </c>
    </row>
    <row r="12" spans="1:7" ht="33.75" customHeight="1">
      <c r="A12" s="49" t="s">
        <v>67</v>
      </c>
      <c r="B12" s="48" t="s">
        <v>68</v>
      </c>
      <c r="C12" s="60">
        <f>SUM(C16:C26)</f>
        <v>304.89999999999998</v>
      </c>
      <c r="D12" s="59"/>
      <c r="E12" s="59">
        <f>SUM(E13:E26)</f>
        <v>33332.832996999998</v>
      </c>
      <c r="F12" s="59"/>
      <c r="G12" s="100"/>
    </row>
    <row r="13" spans="1:7" ht="41.25" customHeight="1">
      <c r="A13" s="44">
        <v>7</v>
      </c>
      <c r="B13" s="45" t="s">
        <v>468</v>
      </c>
      <c r="C13" s="57">
        <v>25</v>
      </c>
      <c r="D13" s="7" t="s">
        <v>464</v>
      </c>
      <c r="E13" s="7">
        <v>2680</v>
      </c>
      <c r="F13" s="7" t="s">
        <v>450</v>
      </c>
      <c r="G13" s="348" t="s">
        <v>988</v>
      </c>
    </row>
    <row r="14" spans="1:7" ht="41.25" customHeight="1">
      <c r="A14" s="44">
        <v>8</v>
      </c>
      <c r="B14" s="45" t="s">
        <v>467</v>
      </c>
      <c r="C14" s="57">
        <v>9.3000000000000007</v>
      </c>
      <c r="D14" s="7" t="s">
        <v>464</v>
      </c>
      <c r="E14" s="7">
        <v>708</v>
      </c>
      <c r="F14" s="7" t="s">
        <v>466</v>
      </c>
      <c r="G14" s="347"/>
    </row>
    <row r="15" spans="1:7" ht="41.25" customHeight="1">
      <c r="A15" s="44">
        <v>9</v>
      </c>
      <c r="B15" s="45" t="s">
        <v>465</v>
      </c>
      <c r="C15" s="57">
        <v>6.06</v>
      </c>
      <c r="D15" s="7" t="s">
        <v>464</v>
      </c>
      <c r="E15" s="7">
        <v>600</v>
      </c>
      <c r="F15" s="7" t="s">
        <v>463</v>
      </c>
      <c r="G15" s="347"/>
    </row>
    <row r="16" spans="1:7" ht="41.25" customHeight="1">
      <c r="A16" s="44">
        <v>10</v>
      </c>
      <c r="B16" s="45" t="s">
        <v>462</v>
      </c>
      <c r="C16" s="57">
        <v>25</v>
      </c>
      <c r="D16" s="7" t="s">
        <v>451</v>
      </c>
      <c r="E16" s="7">
        <v>1539</v>
      </c>
      <c r="F16" s="7" t="s">
        <v>455</v>
      </c>
      <c r="G16" s="347"/>
    </row>
    <row r="17" spans="1:8" ht="41.25" customHeight="1">
      <c r="A17" s="44">
        <v>11</v>
      </c>
      <c r="B17" s="45" t="s">
        <v>461</v>
      </c>
      <c r="C17" s="57">
        <v>45</v>
      </c>
      <c r="D17" s="7" t="s">
        <v>451</v>
      </c>
      <c r="E17" s="57">
        <v>3959.5</v>
      </c>
      <c r="F17" s="7" t="s">
        <v>457</v>
      </c>
      <c r="G17" s="347"/>
    </row>
    <row r="18" spans="1:8" ht="43.5" customHeight="1">
      <c r="A18" s="44">
        <v>12</v>
      </c>
      <c r="B18" s="45" t="s">
        <v>460</v>
      </c>
      <c r="C18" s="57">
        <v>42</v>
      </c>
      <c r="D18" s="7" t="s">
        <v>451</v>
      </c>
      <c r="E18" s="57">
        <v>4002.4</v>
      </c>
      <c r="F18" s="7" t="s">
        <v>459</v>
      </c>
      <c r="G18" s="347"/>
    </row>
    <row r="19" spans="1:8" ht="43.5" customHeight="1">
      <c r="A19" s="44">
        <v>13</v>
      </c>
      <c r="B19" s="45" t="s">
        <v>458</v>
      </c>
      <c r="C19" s="57">
        <v>40</v>
      </c>
      <c r="D19" s="7" t="s">
        <v>451</v>
      </c>
      <c r="E19" s="57">
        <v>2506.6</v>
      </c>
      <c r="F19" s="7" t="s">
        <v>457</v>
      </c>
      <c r="G19" s="347"/>
    </row>
    <row r="20" spans="1:8" ht="43.5" customHeight="1">
      <c r="A20" s="44">
        <v>14</v>
      </c>
      <c r="B20" s="45" t="s">
        <v>456</v>
      </c>
      <c r="C20" s="57">
        <v>10</v>
      </c>
      <c r="D20" s="7" t="s">
        <v>451</v>
      </c>
      <c r="E20" s="57">
        <v>603.4</v>
      </c>
      <c r="F20" s="7" t="s">
        <v>455</v>
      </c>
      <c r="G20" s="347"/>
    </row>
    <row r="21" spans="1:8" ht="33.75" customHeight="1">
      <c r="A21" s="44">
        <v>15</v>
      </c>
      <c r="B21" s="45" t="s">
        <v>454</v>
      </c>
      <c r="C21" s="57">
        <v>22</v>
      </c>
      <c r="D21" s="7" t="s">
        <v>451</v>
      </c>
      <c r="E21" s="57">
        <v>862.17899999999997</v>
      </c>
      <c r="F21" s="7" t="s">
        <v>453</v>
      </c>
      <c r="G21" s="347"/>
    </row>
    <row r="22" spans="1:8" ht="42" customHeight="1">
      <c r="A22" s="44">
        <v>16</v>
      </c>
      <c r="B22" s="45" t="s">
        <v>452</v>
      </c>
      <c r="C22" s="57">
        <v>50</v>
      </c>
      <c r="D22" s="7" t="s">
        <v>451</v>
      </c>
      <c r="E22" s="57">
        <v>5556.3469999999998</v>
      </c>
      <c r="F22" s="7" t="s">
        <v>450</v>
      </c>
      <c r="G22" s="347"/>
    </row>
    <row r="23" spans="1:8" ht="42" customHeight="1">
      <c r="A23" s="44">
        <v>17</v>
      </c>
      <c r="B23" s="45" t="s">
        <v>449</v>
      </c>
      <c r="C23" s="57">
        <v>45.2</v>
      </c>
      <c r="D23" s="7" t="s">
        <v>438</v>
      </c>
      <c r="E23" s="58">
        <v>5056.906997</v>
      </c>
      <c r="F23" s="44" t="s">
        <v>448</v>
      </c>
      <c r="G23" s="347" t="s">
        <v>447</v>
      </c>
    </row>
    <row r="24" spans="1:8" ht="50.25" customHeight="1">
      <c r="A24" s="44">
        <v>18</v>
      </c>
      <c r="B24" s="45" t="s">
        <v>446</v>
      </c>
      <c r="C24" s="57" t="s">
        <v>445</v>
      </c>
      <c r="D24" s="7" t="s">
        <v>444</v>
      </c>
      <c r="E24" s="57">
        <v>1580</v>
      </c>
      <c r="F24" s="7" t="s">
        <v>437</v>
      </c>
      <c r="G24" s="349"/>
    </row>
    <row r="25" spans="1:8" ht="41.25" customHeight="1">
      <c r="A25" s="44">
        <v>19</v>
      </c>
      <c r="B25" s="45" t="s">
        <v>443</v>
      </c>
      <c r="C25" s="57">
        <v>25.7</v>
      </c>
      <c r="D25" s="7" t="s">
        <v>438</v>
      </c>
      <c r="E25" s="57">
        <v>3050.5</v>
      </c>
      <c r="F25" s="44" t="s">
        <v>442</v>
      </c>
      <c r="G25" s="348" t="s">
        <v>441</v>
      </c>
    </row>
    <row r="26" spans="1:8" ht="41.25" customHeight="1">
      <c r="A26" s="44">
        <v>20</v>
      </c>
      <c r="B26" s="45" t="s">
        <v>440</v>
      </c>
      <c r="C26" s="57" t="s">
        <v>439</v>
      </c>
      <c r="D26" s="7" t="s">
        <v>438</v>
      </c>
      <c r="E26" s="57">
        <v>628</v>
      </c>
      <c r="F26" s="7" t="s">
        <v>437</v>
      </c>
      <c r="G26" s="349"/>
    </row>
    <row r="27" spans="1:8" ht="33.75" customHeight="1">
      <c r="A27" s="49" t="s">
        <v>71</v>
      </c>
      <c r="B27" s="48" t="s">
        <v>72</v>
      </c>
      <c r="C27" s="39">
        <f>SUM(C29:C29)</f>
        <v>0</v>
      </c>
      <c r="D27" s="39">
        <f>SUM(D29:D29)</f>
        <v>0</v>
      </c>
      <c r="E27" s="39">
        <f>SUM(E28:E29)</f>
        <v>4123.7139999999999</v>
      </c>
      <c r="F27" s="39"/>
      <c r="G27" s="98"/>
    </row>
    <row r="28" spans="1:8" ht="40.5" customHeight="1">
      <c r="A28" s="44">
        <v>21</v>
      </c>
      <c r="B28" s="45" t="s">
        <v>73</v>
      </c>
      <c r="C28" s="8">
        <v>52</v>
      </c>
      <c r="D28" s="7" t="s">
        <v>74</v>
      </c>
      <c r="E28" s="7">
        <v>3288</v>
      </c>
      <c r="F28" s="44" t="s">
        <v>436</v>
      </c>
      <c r="G28" s="252" t="s">
        <v>989</v>
      </c>
    </row>
    <row r="29" spans="1:8" ht="40.5" customHeight="1">
      <c r="A29" s="44">
        <v>22</v>
      </c>
      <c r="B29" s="54" t="s">
        <v>435</v>
      </c>
      <c r="C29" s="50" t="s">
        <v>434</v>
      </c>
      <c r="D29" s="10"/>
      <c r="E29" s="8">
        <v>835.71400000000006</v>
      </c>
      <c r="F29" s="44" t="s">
        <v>389</v>
      </c>
      <c r="G29" s="252" t="s">
        <v>990</v>
      </c>
    </row>
    <row r="30" spans="1:8" ht="26.25" customHeight="1">
      <c r="A30" s="49" t="s">
        <v>75</v>
      </c>
      <c r="B30" s="48" t="s">
        <v>77</v>
      </c>
      <c r="C30" s="39">
        <f>SUM(C32:C33)</f>
        <v>0</v>
      </c>
      <c r="D30" s="39"/>
      <c r="E30" s="38">
        <f>SUM(E31:E33)</f>
        <v>55483.950000000004</v>
      </c>
      <c r="F30" s="38"/>
      <c r="G30" s="100"/>
    </row>
    <row r="31" spans="1:8" ht="39" customHeight="1">
      <c r="A31" s="44">
        <v>23</v>
      </c>
      <c r="B31" s="56" t="s">
        <v>433</v>
      </c>
      <c r="C31" s="55" t="s">
        <v>432</v>
      </c>
      <c r="D31" s="7" t="s">
        <v>431</v>
      </c>
      <c r="E31" s="7">
        <v>54607.16</v>
      </c>
      <c r="F31" s="44" t="s">
        <v>430</v>
      </c>
      <c r="G31" s="97" t="str">
        <f>+G28</f>
        <v>NQ 13/2019/NQ-HĐND</v>
      </c>
      <c r="H31" s="40">
        <v>1</v>
      </c>
    </row>
    <row r="32" spans="1:8" ht="39" customHeight="1">
      <c r="A32" s="44">
        <v>24</v>
      </c>
      <c r="B32" s="54" t="s">
        <v>429</v>
      </c>
      <c r="C32" s="50" t="s">
        <v>428</v>
      </c>
      <c r="D32" s="7" t="s">
        <v>69</v>
      </c>
      <c r="E32" s="7">
        <v>376.79</v>
      </c>
      <c r="F32" s="53" t="s">
        <v>427</v>
      </c>
      <c r="G32" s="53" t="str">
        <f>+G29</f>
        <v>NQ 07/2021/NQ-HĐND</v>
      </c>
    </row>
    <row r="33" spans="1:8" ht="49.5" customHeight="1">
      <c r="A33" s="44">
        <v>25</v>
      </c>
      <c r="B33" s="56" t="s">
        <v>426</v>
      </c>
      <c r="C33" s="55" t="s">
        <v>425</v>
      </c>
      <c r="D33" s="7"/>
      <c r="E33" s="7">
        <v>500</v>
      </c>
      <c r="F33" s="44" t="s">
        <v>424</v>
      </c>
      <c r="G33" s="44" t="s">
        <v>423</v>
      </c>
    </row>
    <row r="34" spans="1:8" s="47" customFormat="1" ht="26.25" customHeight="1">
      <c r="A34" s="49" t="s">
        <v>76</v>
      </c>
      <c r="B34" s="48" t="s">
        <v>79</v>
      </c>
      <c r="C34" s="11"/>
      <c r="D34" s="38"/>
      <c r="E34" s="39">
        <f>SUM(E35:E61)</f>
        <v>67673.116412000003</v>
      </c>
      <c r="F34" s="39"/>
      <c r="G34" s="100"/>
    </row>
    <row r="35" spans="1:8" ht="43.5" customHeight="1">
      <c r="A35" s="44">
        <v>26</v>
      </c>
      <c r="B35" s="45" t="s">
        <v>80</v>
      </c>
      <c r="C35" s="9">
        <v>60</v>
      </c>
      <c r="D35" s="7" t="s">
        <v>64</v>
      </c>
      <c r="E35" s="8">
        <v>3224</v>
      </c>
      <c r="F35" s="44" t="s">
        <v>422</v>
      </c>
      <c r="G35" s="53" t="s">
        <v>989</v>
      </c>
    </row>
    <row r="36" spans="1:8" ht="43.5" customHeight="1">
      <c r="A36" s="44">
        <v>27</v>
      </c>
      <c r="B36" s="46" t="s">
        <v>421</v>
      </c>
      <c r="C36" s="52">
        <v>71.7</v>
      </c>
      <c r="D36" s="10">
        <v>3</v>
      </c>
      <c r="E36" s="7">
        <v>3195.7939999999999</v>
      </c>
      <c r="F36" s="44" t="s">
        <v>420</v>
      </c>
      <c r="G36" s="44" t="s">
        <v>1315</v>
      </c>
    </row>
    <row r="37" spans="1:8" ht="51" customHeight="1">
      <c r="A37" s="44">
        <v>28</v>
      </c>
      <c r="B37" s="46" t="s">
        <v>419</v>
      </c>
      <c r="C37" s="51">
        <v>103.5</v>
      </c>
      <c r="D37" s="40">
        <v>3</v>
      </c>
      <c r="E37" s="7">
        <v>5472.8624</v>
      </c>
      <c r="F37" s="44" t="s">
        <v>385</v>
      </c>
      <c r="G37" s="347" t="s">
        <v>418</v>
      </c>
    </row>
    <row r="38" spans="1:8" ht="51" customHeight="1">
      <c r="A38" s="44">
        <v>29</v>
      </c>
      <c r="B38" s="46" t="s">
        <v>417</v>
      </c>
      <c r="C38" s="51">
        <v>101</v>
      </c>
      <c r="D38" s="37">
        <v>3</v>
      </c>
      <c r="E38" s="7">
        <v>5823.933</v>
      </c>
      <c r="F38" s="44" t="s">
        <v>385</v>
      </c>
      <c r="G38" s="347"/>
    </row>
    <row r="39" spans="1:8" ht="51" customHeight="1">
      <c r="A39" s="44">
        <v>30</v>
      </c>
      <c r="B39" s="46" t="s">
        <v>416</v>
      </c>
      <c r="C39" s="51">
        <v>42</v>
      </c>
      <c r="D39" s="37">
        <v>5</v>
      </c>
      <c r="E39" s="7">
        <v>2267.0450000000001</v>
      </c>
      <c r="F39" s="44" t="s">
        <v>389</v>
      </c>
      <c r="G39" s="347"/>
    </row>
    <row r="40" spans="1:8" ht="52.5" customHeight="1">
      <c r="A40" s="44">
        <v>31</v>
      </c>
      <c r="B40" s="46" t="s">
        <v>415</v>
      </c>
      <c r="C40" s="51">
        <v>28.93</v>
      </c>
      <c r="D40" s="37">
        <v>5</v>
      </c>
      <c r="E40" s="7">
        <v>2910.1655000000001</v>
      </c>
      <c r="F40" s="44" t="s">
        <v>389</v>
      </c>
      <c r="G40" s="347"/>
      <c r="H40" s="40">
        <v>1</v>
      </c>
    </row>
    <row r="41" spans="1:8" ht="59.25" customHeight="1">
      <c r="A41" s="44">
        <v>32</v>
      </c>
      <c r="B41" s="46" t="s">
        <v>414</v>
      </c>
      <c r="C41" s="51">
        <v>54</v>
      </c>
      <c r="D41" s="37">
        <v>3</v>
      </c>
      <c r="E41" s="7">
        <v>3707.9890399999999</v>
      </c>
      <c r="F41" s="44" t="s">
        <v>385</v>
      </c>
      <c r="G41" s="347"/>
    </row>
    <row r="42" spans="1:8" ht="59.25" customHeight="1">
      <c r="A42" s="44">
        <v>33</v>
      </c>
      <c r="B42" s="46" t="s">
        <v>413</v>
      </c>
      <c r="C42" s="44">
        <v>16</v>
      </c>
      <c r="D42" s="7">
        <v>5</v>
      </c>
      <c r="E42" s="7">
        <v>870.61</v>
      </c>
      <c r="F42" s="44" t="s">
        <v>389</v>
      </c>
      <c r="G42" s="347" t="s">
        <v>360</v>
      </c>
    </row>
    <row r="43" spans="1:8" ht="59.25" customHeight="1">
      <c r="A43" s="44">
        <v>34</v>
      </c>
      <c r="B43" s="46" t="s">
        <v>412</v>
      </c>
      <c r="C43" s="44">
        <v>8.6999999999999993</v>
      </c>
      <c r="D43" s="7">
        <v>5</v>
      </c>
      <c r="E43" s="7">
        <v>853.69534999999996</v>
      </c>
      <c r="F43" s="44" t="s">
        <v>389</v>
      </c>
      <c r="G43" s="347"/>
    </row>
    <row r="44" spans="1:8" ht="72.75" customHeight="1">
      <c r="A44" s="44">
        <v>35</v>
      </c>
      <c r="B44" s="46" t="s">
        <v>411</v>
      </c>
      <c r="C44" s="44">
        <v>139.65</v>
      </c>
      <c r="D44" s="7">
        <v>3</v>
      </c>
      <c r="E44" s="7">
        <v>8096.4004500000001</v>
      </c>
      <c r="F44" s="44" t="s">
        <v>410</v>
      </c>
      <c r="G44" s="347"/>
    </row>
    <row r="45" spans="1:8" ht="72.75" customHeight="1">
      <c r="A45" s="44">
        <v>36</v>
      </c>
      <c r="B45" s="46" t="s">
        <v>409</v>
      </c>
      <c r="C45" s="44">
        <v>104.68</v>
      </c>
      <c r="D45" s="7">
        <v>3</v>
      </c>
      <c r="E45" s="7">
        <v>5665.7609519999996</v>
      </c>
      <c r="F45" s="44" t="s">
        <v>385</v>
      </c>
      <c r="G45" s="347"/>
    </row>
    <row r="46" spans="1:8" ht="41.25" customHeight="1">
      <c r="A46" s="44">
        <v>37</v>
      </c>
      <c r="B46" s="46" t="s">
        <v>408</v>
      </c>
      <c r="C46" s="44">
        <v>9.5</v>
      </c>
      <c r="D46" s="7">
        <v>5</v>
      </c>
      <c r="E46" s="7">
        <v>235.6</v>
      </c>
      <c r="F46" s="44" t="s">
        <v>389</v>
      </c>
      <c r="G46" s="347" t="str">
        <f>+G32</f>
        <v>NQ 07/2021/NQ-HĐND</v>
      </c>
    </row>
    <row r="47" spans="1:8" ht="41.25" customHeight="1">
      <c r="A47" s="44">
        <v>38</v>
      </c>
      <c r="B47" s="46" t="s">
        <v>407</v>
      </c>
      <c r="C47" s="44">
        <v>43.16</v>
      </c>
      <c r="D47" s="7">
        <v>3</v>
      </c>
      <c r="E47" s="7">
        <v>410</v>
      </c>
      <c r="F47" s="44" t="s">
        <v>385</v>
      </c>
      <c r="G47" s="347"/>
    </row>
    <row r="48" spans="1:8" ht="45.75" customHeight="1">
      <c r="A48" s="44">
        <v>39</v>
      </c>
      <c r="B48" s="46" t="s">
        <v>406</v>
      </c>
      <c r="C48" s="44">
        <v>38.547499999999999</v>
      </c>
      <c r="D48" s="7">
        <v>3</v>
      </c>
      <c r="E48" s="7">
        <v>1482.463</v>
      </c>
      <c r="F48" s="44" t="s">
        <v>405</v>
      </c>
      <c r="G48" s="347"/>
    </row>
    <row r="49" spans="1:7" ht="42" customHeight="1">
      <c r="A49" s="44">
        <v>40</v>
      </c>
      <c r="B49" s="46" t="s">
        <v>403</v>
      </c>
      <c r="C49" s="44">
        <v>61.5</v>
      </c>
      <c r="D49" s="7">
        <v>5</v>
      </c>
      <c r="E49" s="7">
        <v>4217.8999999999996</v>
      </c>
      <c r="F49" s="44" t="s">
        <v>402</v>
      </c>
      <c r="G49" s="347" t="s">
        <v>404</v>
      </c>
    </row>
    <row r="50" spans="1:7" ht="42" customHeight="1">
      <c r="A50" s="44">
        <v>41</v>
      </c>
      <c r="B50" s="46" t="s">
        <v>403</v>
      </c>
      <c r="C50" s="44">
        <v>113</v>
      </c>
      <c r="D50" s="7">
        <v>5</v>
      </c>
      <c r="E50" s="7">
        <v>8325</v>
      </c>
      <c r="F50" s="44" t="s">
        <v>402</v>
      </c>
      <c r="G50" s="347"/>
    </row>
    <row r="51" spans="1:7" ht="42" customHeight="1">
      <c r="A51" s="44">
        <v>42</v>
      </c>
      <c r="B51" s="46" t="s">
        <v>401</v>
      </c>
      <c r="C51" s="44">
        <v>47.5</v>
      </c>
      <c r="D51" s="7">
        <v>5</v>
      </c>
      <c r="E51" s="7">
        <v>1752.3620000000001</v>
      </c>
      <c r="F51" s="44" t="s">
        <v>398</v>
      </c>
      <c r="G51" s="347"/>
    </row>
    <row r="52" spans="1:7" ht="34.5" customHeight="1">
      <c r="A52" s="44">
        <v>43</v>
      </c>
      <c r="B52" s="46" t="s">
        <v>397</v>
      </c>
      <c r="C52" s="44">
        <v>12.7</v>
      </c>
      <c r="D52" s="7">
        <v>5</v>
      </c>
      <c r="E52" s="7">
        <v>479</v>
      </c>
      <c r="F52" s="44" t="s">
        <v>398</v>
      </c>
      <c r="G52" s="347"/>
    </row>
    <row r="53" spans="1:7" ht="34.5" customHeight="1">
      <c r="A53" s="44">
        <v>44</v>
      </c>
      <c r="B53" s="46" t="s">
        <v>400</v>
      </c>
      <c r="C53" s="44">
        <v>0.36599999999999999</v>
      </c>
      <c r="D53" s="7">
        <v>5</v>
      </c>
      <c r="E53" s="7">
        <v>699.79200000000003</v>
      </c>
      <c r="F53" s="44" t="s">
        <v>399</v>
      </c>
      <c r="G53" s="347"/>
    </row>
    <row r="54" spans="1:7" ht="34.5" customHeight="1">
      <c r="A54" s="44">
        <v>45</v>
      </c>
      <c r="B54" s="46" t="s">
        <v>400</v>
      </c>
      <c r="C54" s="44">
        <v>0.26</v>
      </c>
      <c r="D54" s="7">
        <v>5</v>
      </c>
      <c r="E54" s="7">
        <v>497.12</v>
      </c>
      <c r="F54" s="44" t="s">
        <v>399</v>
      </c>
      <c r="G54" s="347"/>
    </row>
    <row r="55" spans="1:7" ht="36.75" customHeight="1">
      <c r="A55" s="44">
        <v>46</v>
      </c>
      <c r="B55" s="46" t="s">
        <v>397</v>
      </c>
      <c r="C55" s="44">
        <v>22</v>
      </c>
      <c r="D55" s="7">
        <v>5</v>
      </c>
      <c r="E55" s="7">
        <v>820</v>
      </c>
      <c r="F55" s="44" t="s">
        <v>398</v>
      </c>
      <c r="G55" s="347"/>
    </row>
    <row r="56" spans="1:7" ht="54.75" customHeight="1">
      <c r="A56" s="44">
        <v>47</v>
      </c>
      <c r="B56" s="46" t="s">
        <v>397</v>
      </c>
      <c r="C56" s="44">
        <v>13</v>
      </c>
      <c r="D56" s="7">
        <v>5</v>
      </c>
      <c r="E56" s="7">
        <v>490</v>
      </c>
      <c r="F56" s="44" t="s">
        <v>396</v>
      </c>
      <c r="G56" s="347"/>
    </row>
    <row r="57" spans="1:7" ht="63.75" customHeight="1">
      <c r="A57" s="44">
        <v>48</v>
      </c>
      <c r="B57" s="46" t="s">
        <v>395</v>
      </c>
      <c r="C57" s="44">
        <v>7</v>
      </c>
      <c r="D57" s="7">
        <v>5</v>
      </c>
      <c r="E57" s="7">
        <v>456.4</v>
      </c>
      <c r="F57" s="44" t="s">
        <v>394</v>
      </c>
      <c r="G57" s="347"/>
    </row>
    <row r="58" spans="1:7" ht="45.75" customHeight="1">
      <c r="A58" s="44">
        <v>49</v>
      </c>
      <c r="B58" s="46" t="s">
        <v>393</v>
      </c>
      <c r="C58" s="44" t="s">
        <v>392</v>
      </c>
      <c r="D58" s="7">
        <v>3</v>
      </c>
      <c r="E58" s="7">
        <v>492.03199999999998</v>
      </c>
      <c r="F58" s="44" t="s">
        <v>391</v>
      </c>
      <c r="G58" s="347"/>
    </row>
    <row r="59" spans="1:7" ht="37.5" customHeight="1">
      <c r="A59" s="44">
        <v>50</v>
      </c>
      <c r="B59" s="46" t="s">
        <v>390</v>
      </c>
      <c r="C59" s="44">
        <v>31.512</v>
      </c>
      <c r="D59" s="7">
        <v>5</v>
      </c>
      <c r="E59" s="7">
        <v>1127.471</v>
      </c>
      <c r="F59" s="44" t="s">
        <v>389</v>
      </c>
      <c r="G59" s="347"/>
    </row>
    <row r="60" spans="1:7" ht="45.75" customHeight="1">
      <c r="A60" s="44">
        <v>51</v>
      </c>
      <c r="B60" s="46" t="s">
        <v>388</v>
      </c>
      <c r="C60" s="44">
        <v>35.299999999999997</v>
      </c>
      <c r="D60" s="7">
        <v>3</v>
      </c>
      <c r="E60" s="7">
        <v>1930.06152</v>
      </c>
      <c r="F60" s="44" t="s">
        <v>387</v>
      </c>
      <c r="G60" s="347"/>
    </row>
    <row r="61" spans="1:7" ht="46.5" customHeight="1">
      <c r="A61" s="44">
        <v>52</v>
      </c>
      <c r="B61" s="46" t="s">
        <v>386</v>
      </c>
      <c r="C61" s="44">
        <v>67</v>
      </c>
      <c r="D61" s="7">
        <v>3</v>
      </c>
      <c r="E61" s="7">
        <v>2169.6592000000001</v>
      </c>
      <c r="F61" s="44" t="s">
        <v>385</v>
      </c>
      <c r="G61" s="347"/>
    </row>
    <row r="62" spans="1:7" ht="28.5" customHeight="1">
      <c r="A62" s="49" t="s">
        <v>78</v>
      </c>
      <c r="B62" s="48" t="s">
        <v>82</v>
      </c>
      <c r="C62" s="38">
        <f>SUM(C63:C66)</f>
        <v>202.8</v>
      </c>
      <c r="D62" s="38">
        <f>SUM(D63:D66)</f>
        <v>0</v>
      </c>
      <c r="E62" s="38">
        <f>SUM(E63:E66)</f>
        <v>12857.5</v>
      </c>
      <c r="F62" s="44"/>
      <c r="G62" s="44"/>
    </row>
    <row r="63" spans="1:7" ht="54.75" customHeight="1">
      <c r="A63" s="44">
        <v>53</v>
      </c>
      <c r="B63" s="46" t="s">
        <v>384</v>
      </c>
      <c r="C63" s="50">
        <v>92.7</v>
      </c>
      <c r="D63" s="10"/>
      <c r="E63" s="7">
        <v>4500</v>
      </c>
      <c r="F63" s="44" t="s">
        <v>383</v>
      </c>
      <c r="G63" s="347" t="s">
        <v>382</v>
      </c>
    </row>
    <row r="64" spans="1:7" ht="54.75" customHeight="1">
      <c r="A64" s="44">
        <v>54</v>
      </c>
      <c r="B64" s="46" t="s">
        <v>381</v>
      </c>
      <c r="C64" s="50">
        <v>26</v>
      </c>
      <c r="D64" s="10"/>
      <c r="E64" s="7">
        <v>3129.1</v>
      </c>
      <c r="F64" s="44" t="s">
        <v>380</v>
      </c>
      <c r="G64" s="349"/>
    </row>
    <row r="65" spans="1:8" ht="66.75" customHeight="1">
      <c r="A65" s="44">
        <v>55</v>
      </c>
      <c r="B65" s="46" t="s">
        <v>379</v>
      </c>
      <c r="C65" s="50">
        <v>57.1</v>
      </c>
      <c r="D65" s="10"/>
      <c r="E65" s="7">
        <v>3092.9</v>
      </c>
      <c r="F65" s="44" t="s">
        <v>377</v>
      </c>
      <c r="G65" s="98"/>
    </row>
    <row r="66" spans="1:8" ht="66.75" customHeight="1">
      <c r="A66" s="44">
        <v>56</v>
      </c>
      <c r="B66" s="46" t="s">
        <v>378</v>
      </c>
      <c r="C66" s="50">
        <v>27</v>
      </c>
      <c r="D66" s="10"/>
      <c r="E66" s="7">
        <v>2135.5</v>
      </c>
      <c r="F66" s="44" t="s">
        <v>377</v>
      </c>
      <c r="G66" s="44"/>
    </row>
    <row r="67" spans="1:8" ht="36.75" customHeight="1">
      <c r="A67" s="49" t="s">
        <v>81</v>
      </c>
      <c r="B67" s="48" t="s">
        <v>84</v>
      </c>
      <c r="C67" s="8"/>
      <c r="D67" s="7"/>
      <c r="E67" s="38">
        <f>SUM(E68:E70)</f>
        <v>48186</v>
      </c>
      <c r="F67" s="38"/>
      <c r="G67" s="101"/>
    </row>
    <row r="68" spans="1:8" ht="40.5" customHeight="1">
      <c r="A68" s="44">
        <v>57</v>
      </c>
      <c r="B68" s="45" t="s">
        <v>85</v>
      </c>
      <c r="C68" s="8">
        <v>650</v>
      </c>
      <c r="D68" s="7" t="s">
        <v>64</v>
      </c>
      <c r="E68" s="7">
        <v>43656</v>
      </c>
      <c r="F68" s="7" t="s">
        <v>376</v>
      </c>
      <c r="G68" s="348" t="s">
        <v>989</v>
      </c>
    </row>
    <row r="69" spans="1:8" ht="40.5" customHeight="1">
      <c r="A69" s="44">
        <v>58</v>
      </c>
      <c r="B69" s="44" t="s">
        <v>375</v>
      </c>
      <c r="C69" s="8">
        <v>1400</v>
      </c>
      <c r="D69" s="7" t="s">
        <v>86</v>
      </c>
      <c r="E69" s="8"/>
      <c r="F69" s="8" t="s">
        <v>374</v>
      </c>
      <c r="G69" s="349"/>
      <c r="H69" s="40">
        <v>1</v>
      </c>
    </row>
    <row r="70" spans="1:8" ht="63.75" customHeight="1">
      <c r="A70" s="44">
        <v>59</v>
      </c>
      <c r="B70" s="45" t="s">
        <v>298</v>
      </c>
      <c r="C70" s="8">
        <v>354</v>
      </c>
      <c r="D70" s="10" t="s">
        <v>373</v>
      </c>
      <c r="E70" s="7">
        <v>4530</v>
      </c>
      <c r="F70" s="7" t="s">
        <v>372</v>
      </c>
      <c r="G70" s="98" t="s">
        <v>70</v>
      </c>
    </row>
    <row r="71" spans="1:8" s="47" customFormat="1" ht="28.5" customHeight="1">
      <c r="A71" s="49" t="s">
        <v>83</v>
      </c>
      <c r="B71" s="48" t="s">
        <v>87</v>
      </c>
      <c r="C71" s="39"/>
      <c r="D71" s="38"/>
      <c r="E71" s="39">
        <f>SUM(E72:E81)</f>
        <v>6901.9392000000007</v>
      </c>
      <c r="F71" s="39"/>
      <c r="G71" s="100"/>
    </row>
    <row r="72" spans="1:8" ht="48.75" customHeight="1">
      <c r="A72" s="44">
        <v>60</v>
      </c>
      <c r="B72" s="46" t="s">
        <v>371</v>
      </c>
      <c r="C72" s="8">
        <v>50.35</v>
      </c>
      <c r="D72" s="10" t="s">
        <v>370</v>
      </c>
      <c r="E72" s="7">
        <v>3011</v>
      </c>
      <c r="F72" s="44" t="s">
        <v>369</v>
      </c>
      <c r="G72" s="53" t="str">
        <f>+G68</f>
        <v>NQ 13/2019/NQ-HĐND</v>
      </c>
    </row>
    <row r="73" spans="1:8" ht="50.25" customHeight="1">
      <c r="A73" s="44">
        <v>61</v>
      </c>
      <c r="B73" s="45" t="s">
        <v>368</v>
      </c>
      <c r="C73" s="8" t="s">
        <v>367</v>
      </c>
      <c r="D73" s="10">
        <v>5</v>
      </c>
      <c r="E73" s="8">
        <v>1203.924</v>
      </c>
      <c r="F73" s="44" t="s">
        <v>366</v>
      </c>
      <c r="G73" s="358" t="s">
        <v>365</v>
      </c>
    </row>
    <row r="74" spans="1:8" ht="50.25" customHeight="1">
      <c r="A74" s="44">
        <v>62</v>
      </c>
      <c r="B74" s="45" t="s">
        <v>364</v>
      </c>
      <c r="C74" s="8">
        <v>3</v>
      </c>
      <c r="D74" s="10">
        <v>3</v>
      </c>
      <c r="E74" s="8">
        <v>138.14709999999999</v>
      </c>
      <c r="F74" s="44" t="s">
        <v>361</v>
      </c>
      <c r="G74" s="358"/>
    </row>
    <row r="75" spans="1:8" ht="50.25" customHeight="1">
      <c r="A75" s="44">
        <v>63</v>
      </c>
      <c r="B75" s="45" t="s">
        <v>363</v>
      </c>
      <c r="C75" s="8">
        <v>3</v>
      </c>
      <c r="D75" s="10">
        <v>3</v>
      </c>
      <c r="E75" s="8">
        <v>116.7581</v>
      </c>
      <c r="F75" s="44" t="s">
        <v>361</v>
      </c>
      <c r="G75" s="358"/>
    </row>
    <row r="76" spans="1:8" ht="50.25" customHeight="1">
      <c r="A76" s="44">
        <v>64</v>
      </c>
      <c r="B76" s="45" t="s">
        <v>362</v>
      </c>
      <c r="C76" s="7">
        <v>5</v>
      </c>
      <c r="D76" s="7">
        <v>3</v>
      </c>
      <c r="E76" s="8">
        <v>157</v>
      </c>
      <c r="F76" s="44" t="s">
        <v>361</v>
      </c>
      <c r="G76" s="348" t="s">
        <v>360</v>
      </c>
    </row>
    <row r="77" spans="1:8" ht="33.75" customHeight="1">
      <c r="A77" s="295">
        <v>65</v>
      </c>
      <c r="B77" s="45" t="s">
        <v>359</v>
      </c>
      <c r="C77" s="8">
        <v>31.079000000000001</v>
      </c>
      <c r="D77" s="7">
        <v>3</v>
      </c>
      <c r="E77" s="8">
        <v>61.79</v>
      </c>
      <c r="F77" s="44" t="s">
        <v>357</v>
      </c>
      <c r="G77" s="347"/>
    </row>
    <row r="78" spans="1:8" ht="33.75" customHeight="1">
      <c r="A78" s="295">
        <v>66</v>
      </c>
      <c r="B78" s="45" t="s">
        <v>358</v>
      </c>
      <c r="C78" s="8">
        <v>52.008000000000003</v>
      </c>
      <c r="D78" s="7">
        <v>3</v>
      </c>
      <c r="E78" s="8">
        <v>114.42</v>
      </c>
      <c r="F78" s="44" t="s">
        <v>357</v>
      </c>
      <c r="G78" s="347"/>
    </row>
    <row r="79" spans="1:8" ht="33.75" customHeight="1">
      <c r="A79" s="295">
        <v>67</v>
      </c>
      <c r="B79" s="45" t="s">
        <v>356</v>
      </c>
      <c r="C79" s="8" t="s">
        <v>355</v>
      </c>
      <c r="D79" s="7">
        <v>3</v>
      </c>
      <c r="E79" s="8">
        <v>779.3</v>
      </c>
      <c r="F79" s="44"/>
      <c r="G79" s="347"/>
    </row>
    <row r="80" spans="1:8" ht="39" customHeight="1">
      <c r="A80" s="295">
        <v>68</v>
      </c>
      <c r="B80" s="45" t="s">
        <v>354</v>
      </c>
      <c r="C80" s="8">
        <v>10.54</v>
      </c>
      <c r="D80" s="7">
        <v>5</v>
      </c>
      <c r="E80" s="8">
        <v>396.6</v>
      </c>
      <c r="F80" s="44" t="s">
        <v>353</v>
      </c>
      <c r="G80" s="347"/>
    </row>
    <row r="81" spans="1:8" ht="39" customHeight="1">
      <c r="A81" s="295">
        <v>69</v>
      </c>
      <c r="B81" s="45" t="s">
        <v>352</v>
      </c>
      <c r="C81" s="8">
        <v>35.53</v>
      </c>
      <c r="D81" s="7">
        <v>5</v>
      </c>
      <c r="E81" s="8">
        <v>923</v>
      </c>
      <c r="F81" s="44" t="s">
        <v>351</v>
      </c>
      <c r="G81" s="349"/>
    </row>
    <row r="82" spans="1:8" ht="25.5" customHeight="1">
      <c r="A82" s="356" t="s">
        <v>350</v>
      </c>
      <c r="B82" s="357"/>
      <c r="C82" s="39"/>
      <c r="D82" s="38"/>
      <c r="E82" s="38">
        <f>+E71+E67+E62+E34+E30+E27+E12+E5</f>
        <v>256110.604609</v>
      </c>
      <c r="F82" s="39"/>
      <c r="G82" s="101"/>
    </row>
    <row r="84" spans="1:8">
      <c r="H84" s="40">
        <f>SUM(H5:H83)</f>
        <v>3</v>
      </c>
    </row>
    <row r="98" spans="2:7">
      <c r="B98" s="40"/>
      <c r="C98" s="40"/>
      <c r="D98" s="40"/>
      <c r="E98" s="40"/>
      <c r="F98" s="40"/>
      <c r="G98" s="103"/>
    </row>
    <row r="99" spans="2:7">
      <c r="B99" s="40"/>
      <c r="C99" s="40"/>
      <c r="D99" s="40"/>
      <c r="E99" s="40"/>
      <c r="F99" s="40"/>
      <c r="G99" s="103"/>
    </row>
    <row r="100" spans="2:7">
      <c r="B100" s="40"/>
      <c r="C100" s="40"/>
      <c r="D100" s="40"/>
      <c r="E100" s="40"/>
      <c r="F100" s="40"/>
      <c r="G100" s="103"/>
    </row>
    <row r="101" spans="2:7">
      <c r="B101" s="40"/>
      <c r="C101" s="40"/>
      <c r="D101" s="40"/>
      <c r="E101" s="40"/>
      <c r="F101" s="40"/>
      <c r="G101" s="103"/>
    </row>
    <row r="102" spans="2:7">
      <c r="B102" s="40"/>
      <c r="C102" s="40"/>
      <c r="D102" s="40"/>
      <c r="E102" s="40"/>
      <c r="F102" s="40"/>
      <c r="G102" s="103"/>
    </row>
    <row r="103" spans="2:7">
      <c r="B103" s="40"/>
      <c r="C103" s="40"/>
      <c r="D103" s="40"/>
      <c r="E103" s="40"/>
      <c r="F103" s="40"/>
      <c r="G103" s="103"/>
    </row>
    <row r="104" spans="2:7">
      <c r="B104" s="40"/>
      <c r="C104" s="40"/>
      <c r="D104" s="40"/>
      <c r="E104" s="40"/>
      <c r="F104" s="40"/>
      <c r="G104" s="103"/>
    </row>
    <row r="105" spans="2:7">
      <c r="B105" s="40"/>
      <c r="C105" s="40"/>
      <c r="D105" s="40"/>
      <c r="E105" s="40"/>
      <c r="F105" s="40"/>
      <c r="G105" s="103"/>
    </row>
    <row r="106" spans="2:7">
      <c r="B106" s="40"/>
      <c r="C106" s="40"/>
      <c r="D106" s="40"/>
      <c r="E106" s="40"/>
      <c r="F106" s="40"/>
      <c r="G106" s="103"/>
    </row>
    <row r="107" spans="2:7">
      <c r="B107" s="40"/>
      <c r="C107" s="40"/>
      <c r="D107" s="40"/>
      <c r="E107" s="40"/>
      <c r="F107" s="40"/>
      <c r="G107" s="103"/>
    </row>
    <row r="109" spans="2:7">
      <c r="B109" s="40"/>
      <c r="C109" s="40"/>
      <c r="D109" s="40"/>
      <c r="E109" s="40"/>
      <c r="F109" s="40"/>
      <c r="G109" s="103"/>
    </row>
  </sheetData>
  <mergeCells count="23">
    <mergeCell ref="A82:B82"/>
    <mergeCell ref="G42:G45"/>
    <mergeCell ref="G46:G48"/>
    <mergeCell ref="G49:G61"/>
    <mergeCell ref="G63:G64"/>
    <mergeCell ref="G73:G75"/>
    <mergeCell ref="G76:G81"/>
    <mergeCell ref="G68:G69"/>
    <mergeCell ref="A1:G1"/>
    <mergeCell ref="A3:A4"/>
    <mergeCell ref="B3:B4"/>
    <mergeCell ref="C3:C4"/>
    <mergeCell ref="D3:D4"/>
    <mergeCell ref="E3:E4"/>
    <mergeCell ref="G3:G4"/>
    <mergeCell ref="F3:F4"/>
    <mergeCell ref="A2:G2"/>
    <mergeCell ref="G37:G41"/>
    <mergeCell ref="G7:G8"/>
    <mergeCell ref="G9:G10"/>
    <mergeCell ref="G13:G22"/>
    <mergeCell ref="G23:G24"/>
    <mergeCell ref="G25:G26"/>
  </mergeCells>
  <printOptions horizontalCentered="1"/>
  <pageMargins left="0" right="0" top="0.56999999999999995" bottom="0.33" header="0.31496062992126" footer="0.28000000000000003"/>
  <pageSetup paperSize="9" scale="86" orientation="landscape" r:id="rId1"/>
  <headerFooter>
    <oddHeader>Page &amp;P</oddHeader>
  </headerFooter>
  <rowBreaks count="1" manualBreakCount="1">
    <brk id="71"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workbookViewId="0">
      <selection activeCell="D11" sqref="D11"/>
    </sheetView>
  </sheetViews>
  <sheetFormatPr defaultColWidth="9" defaultRowHeight="16.5"/>
  <cols>
    <col min="1" max="1" width="5.125" style="255" customWidth="1"/>
    <col min="2" max="2" width="26.125" style="255" customWidth="1"/>
    <col min="3" max="3" width="9.625" style="255" customWidth="1"/>
    <col min="4" max="4" width="12.25" style="256" customWidth="1"/>
    <col min="5" max="5" width="9.625" style="256" customWidth="1"/>
    <col min="6" max="7" width="9.875" style="256" customWidth="1"/>
    <col min="8" max="8" width="9.5" style="256" customWidth="1"/>
    <col min="9" max="9" width="9.875" style="256" bestFit="1" customWidth="1"/>
    <col min="10" max="10" width="9.125" style="256" customWidth="1"/>
    <col min="11" max="11" width="11.375" style="256" customWidth="1"/>
    <col min="12" max="12" width="10.125" style="255" customWidth="1"/>
    <col min="13" max="13" width="13.5" style="255" customWidth="1"/>
    <col min="14" max="14" width="9.5" style="255" bestFit="1" customWidth="1"/>
    <col min="15" max="16384" width="9" style="255"/>
  </cols>
  <sheetData>
    <row r="1" spans="1:16" ht="39.75" customHeight="1">
      <c r="A1" s="359" t="s">
        <v>973</v>
      </c>
      <c r="B1" s="359"/>
      <c r="C1" s="359"/>
      <c r="D1" s="359"/>
      <c r="E1" s="359"/>
      <c r="F1" s="359"/>
      <c r="G1" s="359"/>
      <c r="H1" s="359"/>
      <c r="I1" s="359"/>
      <c r="J1" s="359"/>
      <c r="K1" s="359"/>
      <c r="L1" s="359"/>
      <c r="M1" s="359"/>
    </row>
    <row r="2" spans="1:16" ht="36" customHeight="1">
      <c r="A2" s="368" t="str">
        <f>'B5 Dự án liên kết'!A2:G2</f>
        <v>(Kèm theo Báo cáo số 134-BC/TU, ngày 02/3/2026 của Ban Chấp hành Đảng bộ tỉnh)
-----</v>
      </c>
      <c r="B2" s="368"/>
      <c r="C2" s="368"/>
      <c r="D2" s="368"/>
      <c r="E2" s="368"/>
      <c r="F2" s="368"/>
      <c r="G2" s="368"/>
      <c r="H2" s="368"/>
      <c r="I2" s="368"/>
      <c r="J2" s="368"/>
      <c r="K2" s="368"/>
      <c r="L2" s="368"/>
      <c r="M2" s="368"/>
    </row>
    <row r="3" spans="1:16" ht="3.75" customHeight="1"/>
    <row r="4" spans="1:16" ht="27.6" customHeight="1">
      <c r="A4" s="362" t="s">
        <v>0</v>
      </c>
      <c r="B4" s="362" t="s">
        <v>1</v>
      </c>
      <c r="C4" s="362" t="s">
        <v>2</v>
      </c>
      <c r="D4" s="363" t="s">
        <v>39</v>
      </c>
      <c r="E4" s="365" t="s">
        <v>38</v>
      </c>
      <c r="F4" s="366"/>
      <c r="G4" s="366"/>
      <c r="H4" s="366"/>
      <c r="I4" s="366"/>
      <c r="J4" s="366"/>
      <c r="K4" s="366"/>
      <c r="L4" s="367"/>
      <c r="M4" s="360" t="s">
        <v>925</v>
      </c>
    </row>
    <row r="5" spans="1:16" ht="36.75" customHeight="1">
      <c r="A5" s="362"/>
      <c r="B5" s="362"/>
      <c r="C5" s="362"/>
      <c r="D5" s="364"/>
      <c r="E5" s="202" t="s">
        <v>3</v>
      </c>
      <c r="F5" s="202" t="s">
        <v>40</v>
      </c>
      <c r="G5" s="202" t="s">
        <v>4</v>
      </c>
      <c r="H5" s="202" t="s">
        <v>5</v>
      </c>
      <c r="I5" s="202" t="s">
        <v>6</v>
      </c>
      <c r="J5" s="202" t="s">
        <v>7</v>
      </c>
      <c r="K5" s="202" t="s">
        <v>8</v>
      </c>
      <c r="L5" s="202" t="s">
        <v>9</v>
      </c>
      <c r="M5" s="361"/>
      <c r="P5" s="255" t="s">
        <v>88</v>
      </c>
    </row>
    <row r="6" spans="1:16" s="262" customFormat="1" ht="27.75" customHeight="1">
      <c r="A6" s="152">
        <v>1</v>
      </c>
      <c r="B6" s="151" t="s">
        <v>17</v>
      </c>
      <c r="C6" s="152" t="s">
        <v>27</v>
      </c>
      <c r="D6" s="257">
        <f t="shared" ref="D6:D13" si="0">SUM(E6:L6)</f>
        <v>0</v>
      </c>
      <c r="E6" s="258"/>
      <c r="F6" s="259"/>
      <c r="G6" s="259"/>
      <c r="H6" s="259"/>
      <c r="I6" s="259"/>
      <c r="J6" s="259"/>
      <c r="K6" s="259"/>
      <c r="L6" s="260"/>
      <c r="M6" s="261"/>
    </row>
    <row r="7" spans="1:16" s="267" customFormat="1" ht="27.75" customHeight="1">
      <c r="A7" s="157" t="s">
        <v>35</v>
      </c>
      <c r="B7" s="156" t="s">
        <v>12</v>
      </c>
      <c r="C7" s="157" t="s">
        <v>27</v>
      </c>
      <c r="D7" s="263">
        <f t="shared" si="0"/>
        <v>760.15</v>
      </c>
      <c r="E7" s="264"/>
      <c r="F7" s="265"/>
      <c r="G7" s="265">
        <f>84+79+15.5+5</f>
        <v>183.5</v>
      </c>
      <c r="H7" s="265">
        <v>3</v>
      </c>
      <c r="I7" s="265"/>
      <c r="J7" s="265">
        <v>15</v>
      </c>
      <c r="K7" s="265">
        <f>169+250.9+120+2.5+2.25</f>
        <v>544.65</v>
      </c>
      <c r="L7" s="266">
        <f>10+4</f>
        <v>14</v>
      </c>
      <c r="M7" s="44"/>
    </row>
    <row r="8" spans="1:16" s="262" customFormat="1" ht="33" customHeight="1">
      <c r="A8" s="152">
        <v>2</v>
      </c>
      <c r="B8" s="151" t="s">
        <v>974</v>
      </c>
      <c r="C8" s="152" t="s">
        <v>27</v>
      </c>
      <c r="D8" s="268">
        <f t="shared" si="0"/>
        <v>0</v>
      </c>
      <c r="E8" s="269"/>
      <c r="F8" s="258"/>
      <c r="G8" s="258"/>
      <c r="H8" s="258"/>
      <c r="I8" s="258"/>
      <c r="J8" s="258"/>
      <c r="K8" s="269"/>
      <c r="L8" s="258"/>
      <c r="M8" s="49"/>
    </row>
    <row r="9" spans="1:16" s="262" customFormat="1" ht="27.75" customHeight="1">
      <c r="A9" s="157" t="s">
        <v>142</v>
      </c>
      <c r="B9" s="156" t="s">
        <v>52</v>
      </c>
      <c r="C9" s="157" t="s">
        <v>27</v>
      </c>
      <c r="D9" s="263">
        <f t="shared" si="0"/>
        <v>158.25000000000003</v>
      </c>
      <c r="E9" s="270">
        <v>69</v>
      </c>
      <c r="F9" s="263">
        <v>63.42</v>
      </c>
      <c r="G9" s="271"/>
      <c r="H9" s="271"/>
      <c r="I9" s="271"/>
      <c r="J9" s="271">
        <v>25</v>
      </c>
      <c r="K9" s="263"/>
      <c r="L9" s="245">
        <v>0.83</v>
      </c>
      <c r="M9" s="54"/>
      <c r="O9" s="272"/>
    </row>
    <row r="10" spans="1:16" s="262" customFormat="1" ht="27.75" customHeight="1">
      <c r="A10" s="273" t="s">
        <v>50</v>
      </c>
      <c r="B10" s="156" t="s">
        <v>55</v>
      </c>
      <c r="C10" s="157" t="s">
        <v>27</v>
      </c>
      <c r="D10" s="263">
        <f t="shared" si="0"/>
        <v>95</v>
      </c>
      <c r="E10" s="270">
        <v>21</v>
      </c>
      <c r="F10" s="274">
        <v>47.5</v>
      </c>
      <c r="G10" s="271"/>
      <c r="H10" s="271"/>
      <c r="I10" s="271"/>
      <c r="J10" s="271">
        <v>25</v>
      </c>
      <c r="K10" s="263">
        <v>1.5</v>
      </c>
      <c r="L10" s="245"/>
      <c r="M10" s="54"/>
    </row>
    <row r="11" spans="1:16" ht="27.75" customHeight="1">
      <c r="A11" s="157" t="s">
        <v>143</v>
      </c>
      <c r="B11" s="156" t="s">
        <v>53</v>
      </c>
      <c r="C11" s="157" t="s">
        <v>27</v>
      </c>
      <c r="D11" s="263">
        <f t="shared" si="0"/>
        <v>242.6</v>
      </c>
      <c r="E11" s="271"/>
      <c r="F11" s="271"/>
      <c r="G11" s="271"/>
      <c r="H11" s="271"/>
      <c r="I11" s="271"/>
      <c r="J11" s="271"/>
      <c r="K11" s="263">
        <v>73.400000000000006</v>
      </c>
      <c r="L11" s="245">
        <f>115.2+54</f>
        <v>169.2</v>
      </c>
      <c r="M11" s="54"/>
    </row>
    <row r="12" spans="1:16" s="262" customFormat="1" ht="27.75" customHeight="1">
      <c r="A12" s="152">
        <v>3</v>
      </c>
      <c r="B12" s="151" t="s">
        <v>19</v>
      </c>
      <c r="C12" s="152" t="s">
        <v>29</v>
      </c>
      <c r="D12" s="257">
        <f t="shared" si="0"/>
        <v>20094</v>
      </c>
      <c r="E12" s="257"/>
      <c r="F12" s="257">
        <v>1000</v>
      </c>
      <c r="G12" s="257">
        <v>9064</v>
      </c>
      <c r="H12" s="257">
        <v>280</v>
      </c>
      <c r="I12" s="257"/>
      <c r="J12" s="257">
        <v>9000</v>
      </c>
      <c r="K12" s="257"/>
      <c r="L12" s="275">
        <v>750</v>
      </c>
      <c r="M12" s="49"/>
    </row>
    <row r="13" spans="1:16" s="262" customFormat="1" ht="27.75" customHeight="1">
      <c r="A13" s="152">
        <v>4</v>
      </c>
      <c r="B13" s="151" t="s">
        <v>959</v>
      </c>
      <c r="C13" s="152" t="s">
        <v>27</v>
      </c>
      <c r="D13" s="257">
        <f t="shared" si="0"/>
        <v>7420.91</v>
      </c>
      <c r="E13" s="258">
        <v>280.39999999999998</v>
      </c>
      <c r="F13" s="257">
        <v>1002.8199999999999</v>
      </c>
      <c r="G13" s="257">
        <v>683.3900000000001</v>
      </c>
      <c r="H13" s="257">
        <v>83.18</v>
      </c>
      <c r="I13" s="257">
        <v>431.16</v>
      </c>
      <c r="J13" s="257">
        <v>694.44999999999993</v>
      </c>
      <c r="K13" s="257">
        <v>2696.4300000000003</v>
      </c>
      <c r="L13" s="257">
        <v>1549.0800000000002</v>
      </c>
      <c r="M13" s="49"/>
    </row>
    <row r="14" spans="1:16" s="262" customFormat="1" ht="27.75" customHeight="1">
      <c r="A14" s="152">
        <v>5</v>
      </c>
      <c r="B14" s="276" t="s">
        <v>969</v>
      </c>
      <c r="C14" s="277"/>
      <c r="D14" s="277">
        <f>D15+D16</f>
        <v>68</v>
      </c>
      <c r="E14" s="277">
        <f>E15+E16</f>
        <v>9</v>
      </c>
      <c r="F14" s="277">
        <f t="shared" ref="F14:L14" si="1">F15+F16</f>
        <v>14</v>
      </c>
      <c r="G14" s="277">
        <f t="shared" si="1"/>
        <v>1</v>
      </c>
      <c r="H14" s="277">
        <f t="shared" si="1"/>
        <v>0</v>
      </c>
      <c r="I14" s="277">
        <f t="shared" si="1"/>
        <v>6</v>
      </c>
      <c r="J14" s="277">
        <f t="shared" si="1"/>
        <v>0</v>
      </c>
      <c r="K14" s="277">
        <f t="shared" si="1"/>
        <v>2</v>
      </c>
      <c r="L14" s="277">
        <f t="shared" si="1"/>
        <v>36</v>
      </c>
      <c r="M14" s="277"/>
    </row>
    <row r="15" spans="1:16" s="262" customFormat="1" ht="32.25" customHeight="1">
      <c r="A15" s="157" t="s">
        <v>970</v>
      </c>
      <c r="B15" s="278" t="s">
        <v>44</v>
      </c>
      <c r="C15" s="279" t="s">
        <v>43</v>
      </c>
      <c r="D15" s="280">
        <f>SUM(E15:L15)</f>
        <v>52</v>
      </c>
      <c r="E15" s="280">
        <v>4</v>
      </c>
      <c r="F15" s="280">
        <v>10</v>
      </c>
      <c r="G15" s="280">
        <v>1</v>
      </c>
      <c r="H15" s="280"/>
      <c r="I15" s="280">
        <v>5</v>
      </c>
      <c r="J15" s="280"/>
      <c r="K15" s="280"/>
      <c r="L15" s="281">
        <v>32</v>
      </c>
      <c r="M15" s="252"/>
    </row>
    <row r="16" spans="1:16" s="262" customFormat="1" ht="27.75" customHeight="1">
      <c r="A16" s="157" t="s">
        <v>971</v>
      </c>
      <c r="B16" s="278" t="s">
        <v>45</v>
      </c>
      <c r="C16" s="279" t="s">
        <v>43</v>
      </c>
      <c r="D16" s="280">
        <f>SUM(E16:L16)</f>
        <v>16</v>
      </c>
      <c r="E16" s="280">
        <v>5</v>
      </c>
      <c r="F16" s="280">
        <v>4</v>
      </c>
      <c r="G16" s="280"/>
      <c r="H16" s="280"/>
      <c r="I16" s="280">
        <v>1</v>
      </c>
      <c r="J16" s="280"/>
      <c r="K16" s="280">
        <v>2</v>
      </c>
      <c r="L16" s="281">
        <v>4</v>
      </c>
      <c r="M16" s="252"/>
    </row>
    <row r="17" spans="1:13" s="282" customFormat="1" ht="27.75" customHeight="1">
      <c r="A17" s="152">
        <v>6</v>
      </c>
      <c r="B17" s="151" t="s">
        <v>975</v>
      </c>
      <c r="C17" s="152" t="s">
        <v>30</v>
      </c>
      <c r="D17" s="257">
        <v>16470</v>
      </c>
      <c r="E17" s="258">
        <v>3940</v>
      </c>
      <c r="F17" s="259">
        <v>1000</v>
      </c>
      <c r="G17" s="259"/>
      <c r="H17" s="259"/>
      <c r="I17" s="259"/>
      <c r="J17" s="259"/>
      <c r="K17" s="259">
        <v>10930</v>
      </c>
      <c r="L17" s="260">
        <v>600</v>
      </c>
      <c r="M17" s="49"/>
    </row>
    <row r="18" spans="1:13" s="262" customFormat="1" ht="32.25" customHeight="1">
      <c r="A18" s="152">
        <v>7</v>
      </c>
      <c r="B18" s="151" t="s">
        <v>976</v>
      </c>
      <c r="C18" s="152" t="s">
        <v>31</v>
      </c>
      <c r="D18" s="257"/>
      <c r="E18" s="258"/>
      <c r="F18" s="259"/>
      <c r="G18" s="259"/>
      <c r="H18" s="259"/>
      <c r="I18" s="259"/>
      <c r="J18" s="259"/>
      <c r="K18" s="259"/>
      <c r="L18" s="260"/>
      <c r="M18" s="49"/>
    </row>
    <row r="19" spans="1:13" s="262" customFormat="1" ht="27.75" customHeight="1">
      <c r="A19" s="157" t="s">
        <v>51</v>
      </c>
      <c r="B19" s="156" t="s">
        <v>977</v>
      </c>
      <c r="C19" s="157"/>
      <c r="D19" s="271">
        <v>16576</v>
      </c>
      <c r="E19" s="283">
        <v>900</v>
      </c>
      <c r="F19" s="284"/>
      <c r="G19" s="284"/>
      <c r="H19" s="284"/>
      <c r="I19" s="284"/>
      <c r="J19" s="284"/>
      <c r="K19" s="284">
        <v>14076</v>
      </c>
      <c r="L19" s="54">
        <v>1600</v>
      </c>
      <c r="M19" s="44"/>
    </row>
    <row r="20" spans="1:13" s="262" customFormat="1" ht="27.75" customHeight="1">
      <c r="A20" s="157" t="s">
        <v>54</v>
      </c>
      <c r="B20" s="156" t="s">
        <v>978</v>
      </c>
      <c r="C20" s="157" t="s">
        <v>30</v>
      </c>
      <c r="D20" s="271">
        <v>720</v>
      </c>
      <c r="E20" s="284"/>
      <c r="F20" s="284"/>
      <c r="G20" s="284"/>
      <c r="H20" s="284"/>
      <c r="I20" s="284"/>
      <c r="J20" s="284"/>
      <c r="K20" s="284">
        <v>220</v>
      </c>
      <c r="L20" s="54">
        <v>500</v>
      </c>
      <c r="M20" s="44"/>
    </row>
    <row r="21" spans="1:13" s="282" customFormat="1" ht="27.75" customHeight="1">
      <c r="A21" s="152">
        <v>8</v>
      </c>
      <c r="B21" s="151" t="s">
        <v>979</v>
      </c>
      <c r="C21" s="152" t="s">
        <v>27</v>
      </c>
      <c r="D21" s="268">
        <v>865.67</v>
      </c>
      <c r="E21" s="258">
        <v>56.8</v>
      </c>
      <c r="F21" s="259">
        <v>99.3</v>
      </c>
      <c r="G21" s="259">
        <v>116.57</v>
      </c>
      <c r="H21" s="285">
        <v>69.3</v>
      </c>
      <c r="I21" s="259">
        <v>30</v>
      </c>
      <c r="J21" s="259">
        <v>196</v>
      </c>
      <c r="K21" s="286">
        <v>89.3</v>
      </c>
      <c r="L21" s="260">
        <v>208.4</v>
      </c>
      <c r="M21" s="49"/>
    </row>
    <row r="22" spans="1:13" s="282" customFormat="1" ht="27.75" customHeight="1">
      <c r="A22" s="152">
        <v>9</v>
      </c>
      <c r="B22" s="151" t="s">
        <v>313</v>
      </c>
      <c r="C22" s="152" t="s">
        <v>32</v>
      </c>
      <c r="D22" s="257">
        <v>11227</v>
      </c>
      <c r="E22" s="258">
        <v>753</v>
      </c>
      <c r="F22" s="259">
        <v>494</v>
      </c>
      <c r="G22" s="259">
        <v>1526</v>
      </c>
      <c r="H22" s="259">
        <v>381</v>
      </c>
      <c r="I22" s="259">
        <v>388</v>
      </c>
      <c r="J22" s="259">
        <v>3039</v>
      </c>
      <c r="K22" s="259">
        <v>3061</v>
      </c>
      <c r="L22" s="257">
        <v>1585</v>
      </c>
      <c r="M22" s="49"/>
    </row>
    <row r="23" spans="1:13" s="262" customFormat="1" ht="27.75" customHeight="1">
      <c r="A23" s="152">
        <v>10</v>
      </c>
      <c r="B23" s="151" t="s">
        <v>23</v>
      </c>
      <c r="C23" s="152" t="s">
        <v>31</v>
      </c>
      <c r="D23" s="257">
        <v>44247</v>
      </c>
      <c r="E23" s="259"/>
      <c r="F23" s="259"/>
      <c r="G23" s="259"/>
      <c r="H23" s="259">
        <v>831</v>
      </c>
      <c r="I23" s="259"/>
      <c r="J23" s="259">
        <v>4320</v>
      </c>
      <c r="K23" s="259">
        <v>7236</v>
      </c>
      <c r="L23" s="258">
        <v>31860</v>
      </c>
      <c r="M23" s="49"/>
    </row>
    <row r="24" spans="1:13" s="262" customFormat="1" ht="27.75" customHeight="1">
      <c r="A24" s="251">
        <v>11</v>
      </c>
      <c r="B24" s="151" t="s">
        <v>42</v>
      </c>
      <c r="C24" s="251" t="s">
        <v>43</v>
      </c>
      <c r="D24" s="257">
        <f>SUM(E24:L24)</f>
        <v>37</v>
      </c>
      <c r="E24" s="258">
        <v>7</v>
      </c>
      <c r="F24" s="259">
        <v>9</v>
      </c>
      <c r="G24" s="259">
        <v>1</v>
      </c>
      <c r="H24" s="259">
        <v>0</v>
      </c>
      <c r="I24" s="259">
        <v>0</v>
      </c>
      <c r="J24" s="259">
        <v>2</v>
      </c>
      <c r="K24" s="259">
        <v>15</v>
      </c>
      <c r="L24" s="260">
        <v>3</v>
      </c>
      <c r="M24" s="287"/>
    </row>
  </sheetData>
  <mergeCells count="8">
    <mergeCell ref="A1:M1"/>
    <mergeCell ref="M4:M5"/>
    <mergeCell ref="A4:A5"/>
    <mergeCell ref="B4:B5"/>
    <mergeCell ref="C4:C5"/>
    <mergeCell ref="D4:D5"/>
    <mergeCell ref="E4:L4"/>
    <mergeCell ref="A2:M2"/>
  </mergeCells>
  <printOptions horizontalCentered="1"/>
  <pageMargins left="0" right="0" top="0.5" bottom="0.62" header="0.3" footer="0.4"/>
  <pageSetup paperSize="9" scale="90" orientation="landscape" r:id="rId1"/>
  <headerFooter>
    <oddHeader>Page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3"/>
  <sheetViews>
    <sheetView view="pageBreakPreview" zoomScale="85" zoomScaleNormal="55" zoomScaleSheetLayoutView="85" workbookViewId="0">
      <selection activeCell="C9" sqref="C9"/>
    </sheetView>
  </sheetViews>
  <sheetFormatPr defaultColWidth="9" defaultRowHeight="15.75"/>
  <cols>
    <col min="1" max="1" width="8.5" style="108" customWidth="1"/>
    <col min="2" max="2" width="28.25" style="108" customWidth="1"/>
    <col min="3" max="3" width="23.625" style="108" customWidth="1"/>
    <col min="4" max="4" width="18" style="108" customWidth="1"/>
    <col min="5" max="5" width="16.125" style="108" customWidth="1"/>
    <col min="6" max="6" width="11.875" style="108" customWidth="1"/>
    <col min="7" max="7" width="9.625" style="108" customWidth="1"/>
    <col min="8" max="8" width="12.75" style="108" customWidth="1"/>
    <col min="9" max="9" width="17.75" style="108" customWidth="1"/>
    <col min="10" max="13" width="9" style="108"/>
    <col min="14" max="14" width="10.625" style="108" customWidth="1"/>
    <col min="15" max="16384" width="9" style="108"/>
  </cols>
  <sheetData>
    <row r="1" spans="1:15" ht="30.75" customHeight="1">
      <c r="A1" s="371" t="s">
        <v>1345</v>
      </c>
      <c r="B1" s="371"/>
      <c r="C1" s="371"/>
      <c r="D1" s="371"/>
      <c r="E1" s="371"/>
      <c r="F1" s="371"/>
      <c r="G1" s="371"/>
      <c r="H1" s="371"/>
      <c r="I1" s="371"/>
      <c r="J1" s="371"/>
      <c r="K1" s="371"/>
      <c r="L1" s="371"/>
      <c r="M1" s="371"/>
      <c r="N1" s="371"/>
    </row>
    <row r="2" spans="1:15" ht="31.15" customHeight="1">
      <c r="A2" s="376" t="str">
        <f>'B6 thực hiện XHX'!A2:M2</f>
        <v>(Kèm theo Báo cáo số 134-BC/TU, ngày 02/3/2026 của Ban Chấp hành Đảng bộ tỉnh)
-----</v>
      </c>
      <c r="B2" s="377"/>
      <c r="C2" s="377"/>
      <c r="D2" s="377"/>
      <c r="E2" s="377"/>
      <c r="F2" s="377"/>
      <c r="G2" s="377"/>
      <c r="H2" s="377"/>
      <c r="I2" s="377"/>
      <c r="J2" s="377"/>
      <c r="K2" s="377"/>
      <c r="L2" s="377"/>
      <c r="M2" s="377"/>
      <c r="N2" s="377"/>
    </row>
    <row r="3" spans="1:15">
      <c r="A3" s="369"/>
      <c r="B3" s="369"/>
      <c r="C3" s="369"/>
      <c r="D3" s="369"/>
      <c r="E3" s="369"/>
      <c r="F3" s="369"/>
      <c r="G3" s="369"/>
      <c r="H3" s="369"/>
      <c r="I3" s="369"/>
      <c r="J3" s="369"/>
      <c r="K3" s="369"/>
      <c r="L3" s="369"/>
      <c r="M3" s="369"/>
      <c r="N3" s="369"/>
    </row>
    <row r="4" spans="1:15" ht="24" customHeight="1">
      <c r="A4" s="373"/>
      <c r="B4" s="370" t="s">
        <v>89</v>
      </c>
      <c r="C4" s="373" t="s">
        <v>90</v>
      </c>
      <c r="D4" s="370" t="s">
        <v>91</v>
      </c>
      <c r="E4" s="373" t="s">
        <v>92</v>
      </c>
      <c r="F4" s="373" t="s">
        <v>1312</v>
      </c>
      <c r="G4" s="373" t="s">
        <v>93</v>
      </c>
      <c r="H4" s="373" t="s">
        <v>94</v>
      </c>
      <c r="I4" s="374" t="s">
        <v>1313</v>
      </c>
      <c r="J4" s="378" t="s">
        <v>95</v>
      </c>
      <c r="K4" s="379"/>
      <c r="L4" s="379"/>
      <c r="M4" s="379"/>
      <c r="N4" s="380"/>
      <c r="O4" s="109"/>
    </row>
    <row r="5" spans="1:15" ht="57.75" customHeight="1">
      <c r="A5" s="373"/>
      <c r="B5" s="370"/>
      <c r="C5" s="373"/>
      <c r="D5" s="370"/>
      <c r="E5" s="373"/>
      <c r="F5" s="373"/>
      <c r="G5" s="373"/>
      <c r="H5" s="373"/>
      <c r="I5" s="375"/>
      <c r="J5" s="210" t="s">
        <v>96</v>
      </c>
      <c r="K5" s="211" t="s">
        <v>97</v>
      </c>
      <c r="L5" s="211" t="s">
        <v>1268</v>
      </c>
      <c r="M5" s="210" t="s">
        <v>98</v>
      </c>
      <c r="N5" s="210" t="s">
        <v>99</v>
      </c>
      <c r="O5" s="109"/>
    </row>
    <row r="6" spans="1:15">
      <c r="A6" s="205">
        <v>1</v>
      </c>
      <c r="B6" s="203">
        <v>2</v>
      </c>
      <c r="C6" s="205">
        <v>3</v>
      </c>
      <c r="D6" s="203">
        <v>4</v>
      </c>
      <c r="E6" s="205">
        <v>5</v>
      </c>
      <c r="F6" s="205">
        <v>7</v>
      </c>
      <c r="G6" s="205">
        <v>8</v>
      </c>
      <c r="H6" s="205">
        <v>9</v>
      </c>
      <c r="I6" s="212">
        <v>10</v>
      </c>
      <c r="J6" s="210">
        <v>11</v>
      </c>
      <c r="K6" s="211">
        <v>12</v>
      </c>
      <c r="L6" s="211">
        <v>13</v>
      </c>
      <c r="M6" s="210">
        <v>14</v>
      </c>
      <c r="N6" s="210">
        <v>15</v>
      </c>
      <c r="O6" s="109"/>
    </row>
    <row r="7" spans="1:15" ht="30.75" customHeight="1">
      <c r="A7" s="288"/>
      <c r="B7" s="289" t="s">
        <v>1341</v>
      </c>
      <c r="C7" s="290">
        <v>61</v>
      </c>
      <c r="D7" s="291"/>
      <c r="E7" s="249"/>
      <c r="F7" s="292"/>
      <c r="G7" s="292"/>
      <c r="H7" s="293"/>
      <c r="I7" s="294">
        <v>7532984.9099999992</v>
      </c>
      <c r="J7" s="294">
        <v>0</v>
      </c>
      <c r="K7" s="294">
        <v>0</v>
      </c>
      <c r="L7" s="294"/>
      <c r="M7" s="294">
        <v>0</v>
      </c>
      <c r="N7" s="294">
        <v>0</v>
      </c>
    </row>
    <row r="8" spans="1:15" ht="41.25" customHeight="1">
      <c r="A8" s="203">
        <v>1</v>
      </c>
      <c r="B8" s="204" t="s">
        <v>100</v>
      </c>
      <c r="C8" s="205" t="s">
        <v>101</v>
      </c>
      <c r="D8" s="205" t="s">
        <v>102</v>
      </c>
      <c r="E8" s="205" t="s">
        <v>103</v>
      </c>
      <c r="F8" s="214" t="s">
        <v>104</v>
      </c>
      <c r="G8" s="205">
        <v>15</v>
      </c>
      <c r="H8" s="213" t="s">
        <v>105</v>
      </c>
      <c r="I8" s="206">
        <v>6000</v>
      </c>
      <c r="J8" s="208" t="s">
        <v>106</v>
      </c>
      <c r="K8" s="209"/>
      <c r="L8" s="209"/>
      <c r="M8" s="209"/>
      <c r="N8" s="209"/>
      <c r="O8" s="109"/>
    </row>
    <row r="9" spans="1:15" s="110" customFormat="1" ht="68.25" customHeight="1">
      <c r="A9" s="203">
        <v>2</v>
      </c>
      <c r="B9" s="204" t="s">
        <v>1267</v>
      </c>
      <c r="C9" s="205" t="s">
        <v>1266</v>
      </c>
      <c r="D9" s="205" t="s">
        <v>1265</v>
      </c>
      <c r="E9" s="205" t="s">
        <v>1264</v>
      </c>
      <c r="F9" s="205" t="s">
        <v>1263</v>
      </c>
      <c r="G9" s="205">
        <v>50</v>
      </c>
      <c r="H9" s="205" t="s">
        <v>1262</v>
      </c>
      <c r="I9" s="206">
        <v>143000</v>
      </c>
      <c r="J9" s="215" t="s">
        <v>106</v>
      </c>
      <c r="K9" s="209"/>
      <c r="L9" s="208"/>
      <c r="M9" s="209"/>
      <c r="N9" s="209"/>
      <c r="O9" s="109"/>
    </row>
    <row r="10" spans="1:15" ht="63">
      <c r="A10" s="203">
        <v>3</v>
      </c>
      <c r="B10" s="204" t="s">
        <v>1261</v>
      </c>
      <c r="C10" s="205" t="s">
        <v>1260</v>
      </c>
      <c r="D10" s="205" t="s">
        <v>1259</v>
      </c>
      <c r="E10" s="205" t="s">
        <v>1258</v>
      </c>
      <c r="F10" s="216" t="s">
        <v>1257</v>
      </c>
      <c r="G10" s="205">
        <v>50</v>
      </c>
      <c r="H10" s="205" t="s">
        <v>1256</v>
      </c>
      <c r="I10" s="206">
        <v>726</v>
      </c>
      <c r="J10" s="215" t="s">
        <v>106</v>
      </c>
      <c r="K10" s="209"/>
      <c r="L10" s="209"/>
      <c r="M10" s="209"/>
      <c r="N10" s="209"/>
      <c r="O10" s="109"/>
    </row>
    <row r="11" spans="1:15" ht="96" customHeight="1">
      <c r="A11" s="203">
        <v>4</v>
      </c>
      <c r="B11" s="204" t="s">
        <v>1255</v>
      </c>
      <c r="C11" s="205" t="s">
        <v>1254</v>
      </c>
      <c r="D11" s="205" t="s">
        <v>1253</v>
      </c>
      <c r="E11" s="205" t="s">
        <v>1252</v>
      </c>
      <c r="F11" s="205" t="s">
        <v>1251</v>
      </c>
      <c r="G11" s="205">
        <v>50</v>
      </c>
      <c r="H11" s="205" t="s">
        <v>1250</v>
      </c>
      <c r="I11" s="206">
        <v>39452</v>
      </c>
      <c r="J11" s="207" t="s">
        <v>106</v>
      </c>
      <c r="K11" s="209"/>
      <c r="L11" s="209"/>
      <c r="M11" s="209"/>
      <c r="N11" s="209"/>
      <c r="O11" s="109"/>
    </row>
    <row r="12" spans="1:15" s="109" customFormat="1" ht="69.75" customHeight="1">
      <c r="A12" s="203">
        <v>5</v>
      </c>
      <c r="B12" s="204" t="s">
        <v>1249</v>
      </c>
      <c r="C12" s="205" t="s">
        <v>1248</v>
      </c>
      <c r="D12" s="205" t="s">
        <v>1247</v>
      </c>
      <c r="E12" s="205" t="s">
        <v>1246</v>
      </c>
      <c r="F12" s="205" t="s">
        <v>1245</v>
      </c>
      <c r="G12" s="205">
        <v>50</v>
      </c>
      <c r="H12" s="205" t="s">
        <v>1239</v>
      </c>
      <c r="I12" s="206">
        <v>4230.8100000000004</v>
      </c>
      <c r="J12" s="207"/>
      <c r="K12" s="208" t="s">
        <v>106</v>
      </c>
      <c r="L12" s="208"/>
      <c r="M12" s="208" t="s">
        <v>106</v>
      </c>
      <c r="N12" s="209"/>
    </row>
    <row r="13" spans="1:15" ht="96.75" customHeight="1">
      <c r="A13" s="203">
        <v>6</v>
      </c>
      <c r="B13" s="204" t="s">
        <v>1244</v>
      </c>
      <c r="C13" s="205" t="s">
        <v>1243</v>
      </c>
      <c r="D13" s="205" t="s">
        <v>1242</v>
      </c>
      <c r="E13" s="205" t="s">
        <v>1241</v>
      </c>
      <c r="F13" s="205" t="s">
        <v>1240</v>
      </c>
      <c r="G13" s="205">
        <v>50</v>
      </c>
      <c r="H13" s="205" t="s">
        <v>1239</v>
      </c>
      <c r="I13" s="206">
        <v>12745</v>
      </c>
      <c r="J13" s="207" t="s">
        <v>106</v>
      </c>
      <c r="K13" s="209"/>
      <c r="L13" s="209"/>
      <c r="M13" s="209"/>
      <c r="N13" s="209"/>
      <c r="O13" s="109"/>
    </row>
    <row r="14" spans="1:15" s="110" customFormat="1" ht="60.75" customHeight="1">
      <c r="A14" s="203">
        <v>7</v>
      </c>
      <c r="B14" s="204" t="s">
        <v>107</v>
      </c>
      <c r="C14" s="205" t="s">
        <v>108</v>
      </c>
      <c r="D14" s="205" t="s">
        <v>109</v>
      </c>
      <c r="E14" s="205" t="s">
        <v>110</v>
      </c>
      <c r="F14" s="205" t="s">
        <v>111</v>
      </c>
      <c r="G14" s="205">
        <v>50</v>
      </c>
      <c r="H14" s="205"/>
      <c r="I14" s="206">
        <v>29571</v>
      </c>
      <c r="J14" s="207" t="s">
        <v>106</v>
      </c>
      <c r="K14" s="209"/>
      <c r="L14" s="209"/>
      <c r="M14" s="209"/>
      <c r="N14" s="209"/>
      <c r="O14" s="109"/>
    </row>
    <row r="15" spans="1:15" ht="60.75" customHeight="1">
      <c r="A15" s="203">
        <v>8</v>
      </c>
      <c r="B15" s="204" t="s">
        <v>1238</v>
      </c>
      <c r="C15" s="205" t="s">
        <v>1237</v>
      </c>
      <c r="D15" s="205" t="s">
        <v>1189</v>
      </c>
      <c r="E15" s="205" t="s">
        <v>1236</v>
      </c>
      <c r="F15" s="205" t="s">
        <v>1235</v>
      </c>
      <c r="G15" s="205">
        <v>30</v>
      </c>
      <c r="H15" s="205"/>
      <c r="I15" s="206">
        <v>1550583.3</v>
      </c>
      <c r="J15" s="207" t="s">
        <v>106</v>
      </c>
      <c r="K15" s="209"/>
      <c r="L15" s="209"/>
      <c r="M15" s="209"/>
      <c r="N15" s="209"/>
      <c r="O15" s="109"/>
    </row>
    <row r="16" spans="1:15" ht="60.75" customHeight="1">
      <c r="A16" s="203">
        <v>9</v>
      </c>
      <c r="B16" s="204" t="s">
        <v>112</v>
      </c>
      <c r="C16" s="205" t="s">
        <v>113</v>
      </c>
      <c r="D16" s="205" t="s">
        <v>114</v>
      </c>
      <c r="E16" s="205" t="s">
        <v>115</v>
      </c>
      <c r="F16" s="205" t="s">
        <v>116</v>
      </c>
      <c r="G16" s="205">
        <v>30</v>
      </c>
      <c r="H16" s="205"/>
      <c r="I16" s="206">
        <v>12120</v>
      </c>
      <c r="J16" s="207" t="s">
        <v>106</v>
      </c>
      <c r="K16" s="209"/>
      <c r="L16" s="209"/>
      <c r="M16" s="209"/>
      <c r="N16" s="209"/>
      <c r="O16" s="217"/>
    </row>
    <row r="17" spans="1:15" ht="31.5">
      <c r="A17" s="203">
        <v>10</v>
      </c>
      <c r="B17" s="204" t="s">
        <v>1234</v>
      </c>
      <c r="C17" s="205" t="s">
        <v>1233</v>
      </c>
      <c r="D17" s="205" t="s">
        <v>1232</v>
      </c>
      <c r="E17" s="205" t="s">
        <v>1231</v>
      </c>
      <c r="F17" s="205" t="s">
        <v>1230</v>
      </c>
      <c r="G17" s="205">
        <v>50</v>
      </c>
      <c r="H17" s="205" t="s">
        <v>1229</v>
      </c>
      <c r="I17" s="206">
        <v>2421</v>
      </c>
      <c r="J17" s="207" t="s">
        <v>106</v>
      </c>
      <c r="K17" s="209"/>
      <c r="L17" s="209"/>
      <c r="M17" s="209"/>
      <c r="N17" s="209"/>
      <c r="O17" s="217"/>
    </row>
    <row r="18" spans="1:15" ht="72.75" customHeight="1">
      <c r="A18" s="203">
        <v>11</v>
      </c>
      <c r="B18" s="218" t="s">
        <v>1228</v>
      </c>
      <c r="C18" s="210" t="s">
        <v>1227</v>
      </c>
      <c r="D18" s="210" t="s">
        <v>945</v>
      </c>
      <c r="E18" s="210" t="s">
        <v>1226</v>
      </c>
      <c r="F18" s="205" t="s">
        <v>1225</v>
      </c>
      <c r="G18" s="210">
        <v>50</v>
      </c>
      <c r="H18" s="210" t="s">
        <v>1224</v>
      </c>
      <c r="I18" s="206">
        <v>26877.7</v>
      </c>
      <c r="J18" s="215" t="s">
        <v>106</v>
      </c>
      <c r="K18" s="210"/>
      <c r="L18" s="210"/>
      <c r="M18" s="210"/>
      <c r="N18" s="210"/>
      <c r="O18" s="219"/>
    </row>
    <row r="19" spans="1:15" ht="94.5">
      <c r="A19" s="203">
        <v>12</v>
      </c>
      <c r="B19" s="218" t="s">
        <v>1223</v>
      </c>
      <c r="C19" s="210" t="s">
        <v>1222</v>
      </c>
      <c r="D19" s="210" t="s">
        <v>1221</v>
      </c>
      <c r="E19" s="210" t="s">
        <v>1220</v>
      </c>
      <c r="F19" s="205" t="s">
        <v>1219</v>
      </c>
      <c r="G19" s="210">
        <v>30</v>
      </c>
      <c r="H19" s="210" t="s">
        <v>1218</v>
      </c>
      <c r="I19" s="206">
        <v>1469230</v>
      </c>
      <c r="J19" s="215"/>
      <c r="K19" s="210"/>
      <c r="L19" s="210" t="s">
        <v>106</v>
      </c>
      <c r="M19" s="210"/>
      <c r="N19" s="210"/>
      <c r="O19" s="219" t="s">
        <v>106</v>
      </c>
    </row>
    <row r="20" spans="1:15" ht="47.25" customHeight="1">
      <c r="A20" s="203">
        <v>13</v>
      </c>
      <c r="B20" s="218" t="s">
        <v>1217</v>
      </c>
      <c r="C20" s="210" t="s">
        <v>1216</v>
      </c>
      <c r="D20" s="210" t="s">
        <v>1215</v>
      </c>
      <c r="E20" s="210" t="s">
        <v>1214</v>
      </c>
      <c r="F20" s="205" t="s">
        <v>1213</v>
      </c>
      <c r="G20" s="210">
        <v>50</v>
      </c>
      <c r="H20" s="210" t="s">
        <v>1212</v>
      </c>
      <c r="I20" s="206">
        <v>9403.7000000000007</v>
      </c>
      <c r="J20" s="215" t="s">
        <v>106</v>
      </c>
      <c r="K20" s="210"/>
      <c r="L20" s="210"/>
      <c r="M20" s="210"/>
      <c r="N20" s="210"/>
      <c r="O20" s="219"/>
    </row>
    <row r="21" spans="1:15" ht="47.25" customHeight="1">
      <c r="A21" s="203">
        <v>14</v>
      </c>
      <c r="B21" s="204" t="s">
        <v>1211</v>
      </c>
      <c r="C21" s="210" t="s">
        <v>1210</v>
      </c>
      <c r="D21" s="205" t="s">
        <v>1209</v>
      </c>
      <c r="E21" s="205" t="s">
        <v>1208</v>
      </c>
      <c r="F21" s="205" t="s">
        <v>1207</v>
      </c>
      <c r="G21" s="205">
        <v>50</v>
      </c>
      <c r="H21" s="205"/>
      <c r="I21" s="206">
        <v>10000</v>
      </c>
      <c r="J21" s="207" t="s">
        <v>106</v>
      </c>
      <c r="K21" s="209"/>
      <c r="L21" s="209"/>
      <c r="M21" s="209"/>
      <c r="N21" s="209"/>
      <c r="O21" s="217"/>
    </row>
    <row r="22" spans="1:15" ht="64.5" customHeight="1">
      <c r="A22" s="203">
        <v>15</v>
      </c>
      <c r="B22" s="204" t="s">
        <v>117</v>
      </c>
      <c r="C22" s="210" t="s">
        <v>118</v>
      </c>
      <c r="D22" s="205" t="s">
        <v>119</v>
      </c>
      <c r="E22" s="205" t="s">
        <v>120</v>
      </c>
      <c r="F22" s="205" t="s">
        <v>121</v>
      </c>
      <c r="G22" s="205">
        <v>50</v>
      </c>
      <c r="H22" s="205" t="s">
        <v>1206</v>
      </c>
      <c r="I22" s="206">
        <v>57000</v>
      </c>
      <c r="J22" s="207" t="s">
        <v>106</v>
      </c>
      <c r="K22" s="209"/>
      <c r="L22" s="209"/>
      <c r="M22" s="209"/>
      <c r="N22" s="209"/>
      <c r="O22" s="217"/>
    </row>
    <row r="23" spans="1:15" ht="47.25">
      <c r="A23" s="203">
        <v>16</v>
      </c>
      <c r="B23" s="218" t="s">
        <v>122</v>
      </c>
      <c r="C23" s="210" t="s">
        <v>123</v>
      </c>
      <c r="D23" s="210" t="s">
        <v>124</v>
      </c>
      <c r="E23" s="210" t="s">
        <v>125</v>
      </c>
      <c r="F23" s="220" t="s">
        <v>1205</v>
      </c>
      <c r="G23" s="205">
        <v>30</v>
      </c>
      <c r="H23" s="205"/>
      <c r="I23" s="206">
        <v>12568</v>
      </c>
      <c r="J23" s="207" t="s">
        <v>106</v>
      </c>
      <c r="K23" s="209"/>
      <c r="L23" s="209"/>
      <c r="M23" s="209"/>
      <c r="N23" s="209"/>
      <c r="O23" s="217"/>
    </row>
    <row r="24" spans="1:15" ht="90.75" customHeight="1">
      <c r="A24" s="203">
        <v>17</v>
      </c>
      <c r="B24" s="218" t="s">
        <v>126</v>
      </c>
      <c r="C24" s="221" t="s">
        <v>1204</v>
      </c>
      <c r="D24" s="210" t="s">
        <v>127</v>
      </c>
      <c r="E24" s="210" t="s">
        <v>128</v>
      </c>
      <c r="F24" s="220" t="s">
        <v>1203</v>
      </c>
      <c r="G24" s="210">
        <v>50</v>
      </c>
      <c r="H24" s="218"/>
      <c r="I24" s="206">
        <v>38000</v>
      </c>
      <c r="J24" s="207" t="s">
        <v>106</v>
      </c>
      <c r="K24" s="209"/>
      <c r="L24" s="207"/>
      <c r="M24" s="209"/>
      <c r="N24" s="207"/>
      <c r="O24" s="217"/>
    </row>
    <row r="25" spans="1:15" ht="113.25" customHeight="1">
      <c r="A25" s="203">
        <v>18</v>
      </c>
      <c r="B25" s="218" t="s">
        <v>1202</v>
      </c>
      <c r="C25" s="221" t="s">
        <v>1201</v>
      </c>
      <c r="D25" s="210" t="s">
        <v>1200</v>
      </c>
      <c r="E25" s="210" t="s">
        <v>1199</v>
      </c>
      <c r="F25" s="221" t="s">
        <v>1198</v>
      </c>
      <c r="G25" s="210">
        <v>50</v>
      </c>
      <c r="H25" s="222" t="s">
        <v>1197</v>
      </c>
      <c r="I25" s="223">
        <v>48000</v>
      </c>
      <c r="J25" s="215"/>
      <c r="K25" s="210" t="s">
        <v>106</v>
      </c>
      <c r="L25" s="210"/>
      <c r="M25" s="210" t="s">
        <v>106</v>
      </c>
      <c r="N25" s="210"/>
      <c r="O25" s="219"/>
    </row>
    <row r="26" spans="1:15" ht="173.25">
      <c r="A26" s="203">
        <v>19</v>
      </c>
      <c r="B26" s="204" t="s">
        <v>1196</v>
      </c>
      <c r="C26" s="221" t="s">
        <v>1195</v>
      </c>
      <c r="D26" s="210" t="s">
        <v>1146</v>
      </c>
      <c r="E26" s="210" t="s">
        <v>1194</v>
      </c>
      <c r="F26" s="205" t="s">
        <v>1193</v>
      </c>
      <c r="G26" s="210">
        <v>50</v>
      </c>
      <c r="H26" s="210" t="s">
        <v>1192</v>
      </c>
      <c r="I26" s="215">
        <v>33700</v>
      </c>
      <c r="J26" s="215" t="s">
        <v>106</v>
      </c>
      <c r="K26" s="210"/>
      <c r="L26" s="210" t="s">
        <v>106</v>
      </c>
      <c r="M26" s="210"/>
      <c r="N26" s="210"/>
      <c r="O26" s="219" t="s">
        <v>106</v>
      </c>
    </row>
    <row r="27" spans="1:15" ht="63">
      <c r="A27" s="203">
        <v>20</v>
      </c>
      <c r="B27" s="204" t="s">
        <v>1191</v>
      </c>
      <c r="C27" s="221" t="s">
        <v>1190</v>
      </c>
      <c r="D27" s="210" t="s">
        <v>1189</v>
      </c>
      <c r="E27" s="210" t="s">
        <v>1188</v>
      </c>
      <c r="F27" s="205" t="s">
        <v>1187</v>
      </c>
      <c r="G27" s="210">
        <v>50</v>
      </c>
      <c r="H27" s="208"/>
      <c r="I27" s="215">
        <v>54737</v>
      </c>
      <c r="J27" s="215" t="s">
        <v>106</v>
      </c>
      <c r="K27" s="210"/>
      <c r="L27" s="210"/>
      <c r="M27" s="210"/>
      <c r="N27" s="210"/>
      <c r="O27" s="219"/>
    </row>
    <row r="28" spans="1:15" ht="139.5" customHeight="1">
      <c r="A28" s="203">
        <v>21</v>
      </c>
      <c r="B28" s="204" t="s">
        <v>1186</v>
      </c>
      <c r="C28" s="221" t="s">
        <v>1185</v>
      </c>
      <c r="D28" s="205" t="s">
        <v>933</v>
      </c>
      <c r="E28" s="205" t="s">
        <v>1184</v>
      </c>
      <c r="F28" s="205" t="s">
        <v>1183</v>
      </c>
      <c r="G28" s="205">
        <v>50</v>
      </c>
      <c r="H28" s="205"/>
      <c r="I28" s="215">
        <v>37701</v>
      </c>
      <c r="J28" s="215" t="s">
        <v>106</v>
      </c>
      <c r="K28" s="210"/>
      <c r="L28" s="210"/>
      <c r="M28" s="210"/>
      <c r="N28" s="210"/>
      <c r="O28" s="219"/>
    </row>
    <row r="29" spans="1:15" ht="47.25">
      <c r="A29" s="203">
        <v>22</v>
      </c>
      <c r="B29" s="204" t="s">
        <v>1182</v>
      </c>
      <c r="C29" s="205" t="s">
        <v>1181</v>
      </c>
      <c r="D29" s="205" t="s">
        <v>1180</v>
      </c>
      <c r="E29" s="205" t="s">
        <v>1179</v>
      </c>
      <c r="F29" s="205" t="s">
        <v>1178</v>
      </c>
      <c r="G29" s="205">
        <v>50</v>
      </c>
      <c r="H29" s="205"/>
      <c r="I29" s="215">
        <v>360000</v>
      </c>
      <c r="J29" s="207" t="s">
        <v>106</v>
      </c>
      <c r="K29" s="210"/>
      <c r="L29" s="210"/>
      <c r="M29" s="209"/>
      <c r="N29" s="209"/>
      <c r="O29" s="217"/>
    </row>
    <row r="30" spans="1:15" ht="111" customHeight="1">
      <c r="A30" s="203">
        <v>23</v>
      </c>
      <c r="B30" s="204" t="s">
        <v>1177</v>
      </c>
      <c r="C30" s="205" t="s">
        <v>1176</v>
      </c>
      <c r="D30" s="205" t="s">
        <v>1130</v>
      </c>
      <c r="E30" s="205" t="s">
        <v>1175</v>
      </c>
      <c r="F30" s="220" t="s">
        <v>1174</v>
      </c>
      <c r="G30" s="205">
        <v>50</v>
      </c>
      <c r="H30" s="205" t="s">
        <v>1173</v>
      </c>
      <c r="I30" s="206">
        <v>18388</v>
      </c>
      <c r="J30" s="207" t="s">
        <v>106</v>
      </c>
      <c r="K30" s="209"/>
      <c r="L30" s="207"/>
      <c r="M30" s="209"/>
      <c r="N30" s="209"/>
      <c r="O30" s="217"/>
    </row>
    <row r="31" spans="1:15" ht="31.5">
      <c r="A31" s="203">
        <v>24</v>
      </c>
      <c r="B31" s="204" t="s">
        <v>1172</v>
      </c>
      <c r="C31" s="210" t="s">
        <v>1171</v>
      </c>
      <c r="D31" s="205" t="s">
        <v>1170</v>
      </c>
      <c r="E31" s="205" t="s">
        <v>1169</v>
      </c>
      <c r="F31" s="213" t="s">
        <v>1168</v>
      </c>
      <c r="G31" s="205">
        <v>50</v>
      </c>
      <c r="H31" s="205" t="s">
        <v>1167</v>
      </c>
      <c r="I31" s="206">
        <v>200000</v>
      </c>
      <c r="J31" s="207" t="s">
        <v>106</v>
      </c>
      <c r="K31" s="209"/>
      <c r="L31" s="207"/>
      <c r="M31" s="209"/>
      <c r="N31" s="209"/>
      <c r="O31" s="217" t="s">
        <v>106</v>
      </c>
    </row>
    <row r="32" spans="1:15" ht="97.5" customHeight="1">
      <c r="A32" s="203">
        <v>25</v>
      </c>
      <c r="B32" s="218" t="s">
        <v>1166</v>
      </c>
      <c r="C32" s="221" t="s">
        <v>1165</v>
      </c>
      <c r="D32" s="210" t="s">
        <v>1164</v>
      </c>
      <c r="E32" s="210" t="s">
        <v>1163</v>
      </c>
      <c r="F32" s="210" t="s">
        <v>1162</v>
      </c>
      <c r="G32" s="205">
        <v>50</v>
      </c>
      <c r="H32" s="208" t="s">
        <v>1161</v>
      </c>
      <c r="I32" s="206">
        <v>137360</v>
      </c>
      <c r="J32" s="207" t="s">
        <v>106</v>
      </c>
      <c r="K32" s="208"/>
      <c r="L32" s="208"/>
      <c r="M32" s="208"/>
      <c r="N32" s="208"/>
      <c r="O32" s="217"/>
    </row>
    <row r="33" spans="1:15" ht="71.25" customHeight="1">
      <c r="A33" s="203">
        <v>26</v>
      </c>
      <c r="B33" s="224" t="s">
        <v>1160</v>
      </c>
      <c r="C33" s="225" t="s">
        <v>1159</v>
      </c>
      <c r="D33" s="225" t="s">
        <v>1158</v>
      </c>
      <c r="E33" s="225" t="s">
        <v>1157</v>
      </c>
      <c r="F33" s="225" t="s">
        <v>1156</v>
      </c>
      <c r="G33" s="205">
        <v>50</v>
      </c>
      <c r="H33" s="226" t="s">
        <v>1155</v>
      </c>
      <c r="I33" s="227">
        <v>76113</v>
      </c>
      <c r="J33" s="207" t="s">
        <v>106</v>
      </c>
      <c r="K33" s="208"/>
      <c r="L33" s="208"/>
      <c r="M33" s="208"/>
      <c r="N33" s="208"/>
      <c r="O33" s="217"/>
    </row>
    <row r="34" spans="1:15" ht="66" customHeight="1">
      <c r="A34" s="203">
        <v>27</v>
      </c>
      <c r="B34" s="218" t="s">
        <v>129</v>
      </c>
      <c r="C34" s="210" t="s">
        <v>130</v>
      </c>
      <c r="D34" s="210" t="s">
        <v>131</v>
      </c>
      <c r="E34" s="210" t="s">
        <v>132</v>
      </c>
      <c r="F34" s="221" t="s">
        <v>133</v>
      </c>
      <c r="G34" s="205">
        <v>50</v>
      </c>
      <c r="H34" s="208" t="s">
        <v>134</v>
      </c>
      <c r="I34" s="206">
        <v>75000</v>
      </c>
      <c r="J34" s="207"/>
      <c r="K34" s="208"/>
      <c r="L34" s="208" t="s">
        <v>106</v>
      </c>
      <c r="M34" s="208"/>
      <c r="N34" s="208"/>
      <c r="O34" s="217" t="s">
        <v>106</v>
      </c>
    </row>
    <row r="35" spans="1:15" ht="126">
      <c r="A35" s="203">
        <v>28</v>
      </c>
      <c r="B35" s="218" t="s">
        <v>1154</v>
      </c>
      <c r="C35" s="210" t="s">
        <v>1153</v>
      </c>
      <c r="D35" s="210" t="s">
        <v>1152</v>
      </c>
      <c r="E35" s="210" t="s">
        <v>1151</v>
      </c>
      <c r="F35" s="210" t="s">
        <v>1150</v>
      </c>
      <c r="G35" s="205">
        <v>50</v>
      </c>
      <c r="H35" s="210" t="s">
        <v>1149</v>
      </c>
      <c r="I35" s="223">
        <v>44000</v>
      </c>
      <c r="J35" s="207" t="s">
        <v>106</v>
      </c>
      <c r="K35" s="208"/>
      <c r="L35" s="208"/>
      <c r="M35" s="208"/>
      <c r="N35" s="208"/>
      <c r="O35" s="217"/>
    </row>
    <row r="36" spans="1:15" ht="47.25">
      <c r="A36" s="203">
        <v>29</v>
      </c>
      <c r="B36" s="218" t="s">
        <v>1148</v>
      </c>
      <c r="C36" s="210" t="s">
        <v>1147</v>
      </c>
      <c r="D36" s="204" t="s">
        <v>1146</v>
      </c>
      <c r="E36" s="205" t="s">
        <v>1145</v>
      </c>
      <c r="F36" s="221" t="s">
        <v>1144</v>
      </c>
      <c r="G36" s="205">
        <v>50</v>
      </c>
      <c r="H36" s="215" t="s">
        <v>1143</v>
      </c>
      <c r="I36" s="215">
        <v>13800</v>
      </c>
      <c r="J36" s="207" t="s">
        <v>106</v>
      </c>
      <c r="K36" s="208"/>
      <c r="L36" s="208"/>
      <c r="M36" s="208"/>
      <c r="N36" s="208"/>
      <c r="O36" s="217"/>
    </row>
    <row r="37" spans="1:15" ht="60" customHeight="1">
      <c r="A37" s="203">
        <v>30</v>
      </c>
      <c r="B37" s="218" t="s">
        <v>1142</v>
      </c>
      <c r="C37" s="210" t="s">
        <v>1141</v>
      </c>
      <c r="D37" s="205" t="s">
        <v>1140</v>
      </c>
      <c r="E37" s="205" t="s">
        <v>1139</v>
      </c>
      <c r="F37" s="221" t="s">
        <v>1134</v>
      </c>
      <c r="G37" s="205">
        <v>50</v>
      </c>
      <c r="H37" s="205" t="s">
        <v>1138</v>
      </c>
      <c r="I37" s="215">
        <v>33900</v>
      </c>
      <c r="J37" s="207" t="s">
        <v>106</v>
      </c>
      <c r="K37" s="208"/>
      <c r="L37" s="208"/>
      <c r="M37" s="208"/>
      <c r="N37" s="208"/>
      <c r="O37" s="217"/>
    </row>
    <row r="38" spans="1:15" ht="56.25" customHeight="1">
      <c r="A38" s="203">
        <v>31</v>
      </c>
      <c r="B38" s="218" t="s">
        <v>1137</v>
      </c>
      <c r="C38" s="210" t="s">
        <v>1136</v>
      </c>
      <c r="D38" s="205" t="s">
        <v>1130</v>
      </c>
      <c r="E38" s="205" t="s">
        <v>1135</v>
      </c>
      <c r="F38" s="221" t="s">
        <v>1134</v>
      </c>
      <c r="G38" s="205">
        <v>50</v>
      </c>
      <c r="H38" s="205" t="s">
        <v>1133</v>
      </c>
      <c r="I38" s="215">
        <v>58925</v>
      </c>
      <c r="J38" s="207" t="s">
        <v>106</v>
      </c>
      <c r="K38" s="208"/>
      <c r="L38" s="208"/>
      <c r="M38" s="208"/>
      <c r="N38" s="208"/>
      <c r="O38" s="217"/>
    </row>
    <row r="39" spans="1:15" ht="80.25" customHeight="1">
      <c r="A39" s="203">
        <v>32</v>
      </c>
      <c r="B39" s="218" t="s">
        <v>1132</v>
      </c>
      <c r="C39" s="210" t="s">
        <v>1131</v>
      </c>
      <c r="D39" s="205" t="s">
        <v>1130</v>
      </c>
      <c r="E39" s="205" t="s">
        <v>1129</v>
      </c>
      <c r="F39" s="221" t="s">
        <v>1128</v>
      </c>
      <c r="G39" s="205">
        <v>50</v>
      </c>
      <c r="H39" s="205" t="s">
        <v>1127</v>
      </c>
      <c r="I39" s="215">
        <v>326192</v>
      </c>
      <c r="J39" s="207"/>
      <c r="K39" s="208" t="s">
        <v>106</v>
      </c>
      <c r="L39" s="208"/>
      <c r="M39" s="208" t="s">
        <v>106</v>
      </c>
      <c r="N39" s="208"/>
      <c r="O39" s="217"/>
    </row>
    <row r="40" spans="1:15" ht="102.75" customHeight="1">
      <c r="A40" s="203">
        <v>33</v>
      </c>
      <c r="B40" s="218" t="s">
        <v>1126</v>
      </c>
      <c r="C40" s="228" t="s">
        <v>1125</v>
      </c>
      <c r="D40" s="218" t="s">
        <v>1124</v>
      </c>
      <c r="E40" s="218" t="s">
        <v>1123</v>
      </c>
      <c r="F40" s="221" t="s">
        <v>1122</v>
      </c>
      <c r="G40" s="205">
        <v>50</v>
      </c>
      <c r="H40" s="205" t="s">
        <v>1121</v>
      </c>
      <c r="I40" s="223">
        <v>304000</v>
      </c>
      <c r="J40" s="207"/>
      <c r="K40" s="208"/>
      <c r="L40" s="208" t="s">
        <v>106</v>
      </c>
      <c r="M40" s="208"/>
      <c r="N40" s="208"/>
      <c r="O40" s="217"/>
    </row>
    <row r="41" spans="1:15" ht="69" customHeight="1">
      <c r="A41" s="203">
        <v>34</v>
      </c>
      <c r="B41" s="218" t="s">
        <v>1120</v>
      </c>
      <c r="C41" s="210" t="s">
        <v>1119</v>
      </c>
      <c r="D41" s="204" t="s">
        <v>1118</v>
      </c>
      <c r="E41" s="205" t="s">
        <v>1117</v>
      </c>
      <c r="F41" s="221" t="s">
        <v>1116</v>
      </c>
      <c r="G41" s="205">
        <v>50</v>
      </c>
      <c r="H41" s="229" t="s">
        <v>1115</v>
      </c>
      <c r="I41" s="215">
        <v>19992</v>
      </c>
      <c r="J41" s="207" t="s">
        <v>106</v>
      </c>
      <c r="K41" s="208"/>
      <c r="L41" s="208"/>
      <c r="M41" s="208"/>
      <c r="N41" s="208"/>
      <c r="O41" s="217"/>
    </row>
    <row r="42" spans="1:15" ht="78" customHeight="1">
      <c r="A42" s="203">
        <v>35</v>
      </c>
      <c r="B42" s="204" t="s">
        <v>1114</v>
      </c>
      <c r="C42" s="210" t="s">
        <v>1113</v>
      </c>
      <c r="D42" s="204" t="s">
        <v>1112</v>
      </c>
      <c r="E42" s="205" t="s">
        <v>1111</v>
      </c>
      <c r="F42" s="221" t="s">
        <v>1110</v>
      </c>
      <c r="G42" s="205">
        <v>50</v>
      </c>
      <c r="H42" s="205" t="s">
        <v>1109</v>
      </c>
      <c r="I42" s="215">
        <v>30000</v>
      </c>
      <c r="J42" s="207" t="s">
        <v>106</v>
      </c>
      <c r="K42" s="208"/>
      <c r="L42" s="208"/>
      <c r="M42" s="208"/>
      <c r="N42" s="208"/>
      <c r="O42" s="217"/>
    </row>
    <row r="43" spans="1:15" ht="63">
      <c r="A43" s="203">
        <v>36</v>
      </c>
      <c r="B43" s="218" t="s">
        <v>1108</v>
      </c>
      <c r="C43" s="221" t="s">
        <v>1107</v>
      </c>
      <c r="D43" s="205" t="s">
        <v>1106</v>
      </c>
      <c r="E43" s="205" t="s">
        <v>1105</v>
      </c>
      <c r="F43" s="221" t="s">
        <v>1104</v>
      </c>
      <c r="G43" s="210">
        <v>50</v>
      </c>
      <c r="H43" s="205" t="s">
        <v>1103</v>
      </c>
      <c r="I43" s="215">
        <v>52517.3</v>
      </c>
      <c r="J43" s="207"/>
      <c r="K43" s="208"/>
      <c r="L43" s="208" t="s">
        <v>106</v>
      </c>
      <c r="M43" s="208"/>
      <c r="N43" s="208"/>
      <c r="O43" s="217"/>
    </row>
    <row r="44" spans="1:15" ht="63">
      <c r="A44" s="203">
        <v>37</v>
      </c>
      <c r="B44" s="218" t="s">
        <v>1102</v>
      </c>
      <c r="C44" s="221" t="s">
        <v>1101</v>
      </c>
      <c r="D44" s="205" t="s">
        <v>1100</v>
      </c>
      <c r="E44" s="205" t="s">
        <v>1099</v>
      </c>
      <c r="F44" s="221" t="s">
        <v>1098</v>
      </c>
      <c r="G44" s="205">
        <v>50</v>
      </c>
      <c r="H44" s="205" t="s">
        <v>1097</v>
      </c>
      <c r="I44" s="215">
        <v>23381</v>
      </c>
      <c r="J44" s="207" t="s">
        <v>106</v>
      </c>
      <c r="K44" s="208"/>
      <c r="L44" s="208" t="s">
        <v>106</v>
      </c>
      <c r="M44" s="208"/>
      <c r="N44" s="208"/>
      <c r="O44" s="217"/>
    </row>
    <row r="45" spans="1:15" ht="63">
      <c r="A45" s="203">
        <v>38</v>
      </c>
      <c r="B45" s="218" t="s">
        <v>1096</v>
      </c>
      <c r="C45" s="210" t="s">
        <v>1095</v>
      </c>
      <c r="D45" s="205" t="s">
        <v>1094</v>
      </c>
      <c r="E45" s="205" t="s">
        <v>1093</v>
      </c>
      <c r="F45" s="221" t="s">
        <v>1092</v>
      </c>
      <c r="G45" s="205">
        <v>50</v>
      </c>
      <c r="H45" s="205" t="s">
        <v>1091</v>
      </c>
      <c r="I45" s="215">
        <v>299629</v>
      </c>
      <c r="J45" s="207"/>
      <c r="K45" s="208" t="s">
        <v>106</v>
      </c>
      <c r="L45" s="208"/>
      <c r="M45" s="208" t="s">
        <v>106</v>
      </c>
      <c r="N45" s="208"/>
      <c r="O45" s="217"/>
    </row>
    <row r="46" spans="1:15" ht="63">
      <c r="A46" s="203">
        <v>39</v>
      </c>
      <c r="B46" s="218" t="s">
        <v>1090</v>
      </c>
      <c r="C46" s="210" t="s">
        <v>1089</v>
      </c>
      <c r="D46" s="205" t="s">
        <v>1035</v>
      </c>
      <c r="E46" s="205" t="s">
        <v>1088</v>
      </c>
      <c r="F46" s="221" t="s">
        <v>1087</v>
      </c>
      <c r="G46" s="205">
        <v>50</v>
      </c>
      <c r="H46" s="205" t="s">
        <v>1086</v>
      </c>
      <c r="I46" s="223">
        <v>54425.5</v>
      </c>
      <c r="J46" s="207"/>
      <c r="K46" s="208"/>
      <c r="L46" s="208" t="s">
        <v>106</v>
      </c>
      <c r="M46" s="208"/>
      <c r="N46" s="208"/>
      <c r="O46" s="217"/>
    </row>
    <row r="47" spans="1:15" ht="61.5" customHeight="1">
      <c r="A47" s="203">
        <v>40</v>
      </c>
      <c r="B47" s="218" t="s">
        <v>135</v>
      </c>
      <c r="C47" s="210" t="s">
        <v>1085</v>
      </c>
      <c r="D47" s="205" t="s">
        <v>136</v>
      </c>
      <c r="E47" s="205" t="s">
        <v>137</v>
      </c>
      <c r="F47" s="221" t="s">
        <v>1084</v>
      </c>
      <c r="G47" s="205">
        <v>50</v>
      </c>
      <c r="H47" s="205" t="s">
        <v>1083</v>
      </c>
      <c r="I47" s="223">
        <v>252108</v>
      </c>
      <c r="J47" s="207" t="s">
        <v>106</v>
      </c>
      <c r="K47" s="208"/>
      <c r="L47" s="208" t="s">
        <v>106</v>
      </c>
      <c r="M47" s="208"/>
      <c r="N47" s="208"/>
      <c r="O47" s="217"/>
    </row>
    <row r="48" spans="1:15" ht="47.25">
      <c r="A48" s="203">
        <v>41</v>
      </c>
      <c r="B48" s="218" t="s">
        <v>1082</v>
      </c>
      <c r="C48" s="210" t="s">
        <v>1081</v>
      </c>
      <c r="D48" s="205" t="s">
        <v>1080</v>
      </c>
      <c r="E48" s="205" t="s">
        <v>138</v>
      </c>
      <c r="F48" s="210" t="s">
        <v>1079</v>
      </c>
      <c r="G48" s="205">
        <v>50</v>
      </c>
      <c r="H48" s="210">
        <v>200.05</v>
      </c>
      <c r="I48" s="207">
        <v>22751.599999999999</v>
      </c>
      <c r="J48" s="207"/>
      <c r="K48" s="208"/>
      <c r="L48" s="208" t="s">
        <v>106</v>
      </c>
      <c r="M48" s="208"/>
      <c r="N48" s="208"/>
      <c r="O48" s="109"/>
    </row>
    <row r="49" spans="1:15" ht="47.25">
      <c r="A49" s="203">
        <v>42</v>
      </c>
      <c r="B49" s="218" t="s">
        <v>1078</v>
      </c>
      <c r="C49" s="210" t="s">
        <v>1077</v>
      </c>
      <c r="D49" s="205" t="s">
        <v>1076</v>
      </c>
      <c r="E49" s="205" t="s">
        <v>1019</v>
      </c>
      <c r="F49" s="221" t="s">
        <v>1075</v>
      </c>
      <c r="G49" s="205">
        <v>50</v>
      </c>
      <c r="H49" s="229" t="s">
        <v>1074</v>
      </c>
      <c r="I49" s="215">
        <v>30000</v>
      </c>
      <c r="J49" s="207" t="s">
        <v>106</v>
      </c>
      <c r="K49" s="208"/>
      <c r="L49" s="208"/>
      <c r="M49" s="208"/>
      <c r="N49" s="208"/>
      <c r="O49" s="109"/>
    </row>
    <row r="50" spans="1:15" ht="56.25" customHeight="1">
      <c r="A50" s="203">
        <v>43</v>
      </c>
      <c r="B50" s="218" t="s">
        <v>319</v>
      </c>
      <c r="C50" s="210" t="s">
        <v>1073</v>
      </c>
      <c r="D50" s="205" t="s">
        <v>1072</v>
      </c>
      <c r="E50" s="205" t="s">
        <v>138</v>
      </c>
      <c r="F50" s="221" t="s">
        <v>321</v>
      </c>
      <c r="G50" s="205">
        <v>50</v>
      </c>
      <c r="H50" s="205" t="s">
        <v>320</v>
      </c>
      <c r="I50" s="215">
        <v>222000</v>
      </c>
      <c r="J50" s="207"/>
      <c r="K50" s="208" t="s">
        <v>106</v>
      </c>
      <c r="L50" s="208"/>
      <c r="M50" s="208" t="s">
        <v>106</v>
      </c>
      <c r="N50" s="208"/>
      <c r="O50" s="109"/>
    </row>
    <row r="51" spans="1:15" ht="69" customHeight="1">
      <c r="A51" s="203">
        <v>44</v>
      </c>
      <c r="B51" s="218" t="s">
        <v>1071</v>
      </c>
      <c r="C51" s="210" t="s">
        <v>1070</v>
      </c>
      <c r="D51" s="205" t="s">
        <v>1069</v>
      </c>
      <c r="E51" s="205" t="s">
        <v>324</v>
      </c>
      <c r="F51" s="221" t="s">
        <v>326</v>
      </c>
      <c r="G51" s="205">
        <v>50</v>
      </c>
      <c r="H51" s="205" t="s">
        <v>1068</v>
      </c>
      <c r="I51" s="215">
        <v>44500</v>
      </c>
      <c r="J51" s="207" t="s">
        <v>106</v>
      </c>
      <c r="K51" s="208"/>
      <c r="L51" s="208"/>
      <c r="M51" s="208"/>
      <c r="N51" s="208"/>
      <c r="O51" s="109"/>
    </row>
    <row r="52" spans="1:15" ht="69" customHeight="1">
      <c r="A52" s="203">
        <v>45</v>
      </c>
      <c r="B52" s="218" t="s">
        <v>322</v>
      </c>
      <c r="C52" s="210" t="s">
        <v>1067</v>
      </c>
      <c r="D52" s="205" t="s">
        <v>323</v>
      </c>
      <c r="E52" s="205" t="s">
        <v>324</v>
      </c>
      <c r="F52" s="221" t="s">
        <v>326</v>
      </c>
      <c r="G52" s="205">
        <v>50</v>
      </c>
      <c r="H52" s="205" t="s">
        <v>325</v>
      </c>
      <c r="I52" s="215">
        <v>99000</v>
      </c>
      <c r="J52" s="207"/>
      <c r="K52" s="208" t="s">
        <v>106</v>
      </c>
      <c r="L52" s="208"/>
      <c r="M52" s="208" t="s">
        <v>106</v>
      </c>
      <c r="N52" s="208"/>
      <c r="O52" s="109"/>
    </row>
    <row r="53" spans="1:15" ht="63.75" customHeight="1">
      <c r="A53" s="203">
        <v>46</v>
      </c>
      <c r="B53" s="218" t="s">
        <v>1066</v>
      </c>
      <c r="C53" s="210" t="s">
        <v>1065</v>
      </c>
      <c r="D53" s="205" t="s">
        <v>1064</v>
      </c>
      <c r="E53" s="205" t="s">
        <v>141</v>
      </c>
      <c r="F53" s="221" t="s">
        <v>326</v>
      </c>
      <c r="G53" s="205">
        <v>50</v>
      </c>
      <c r="H53" s="229" t="s">
        <v>1063</v>
      </c>
      <c r="I53" s="215">
        <v>30000</v>
      </c>
      <c r="J53" s="207"/>
      <c r="K53" s="208" t="s">
        <v>106</v>
      </c>
      <c r="L53" s="208"/>
      <c r="M53" s="208" t="s">
        <v>106</v>
      </c>
      <c r="N53" s="208"/>
      <c r="O53" s="109"/>
    </row>
    <row r="54" spans="1:15" ht="47.25">
      <c r="A54" s="203">
        <v>47</v>
      </c>
      <c r="B54" s="218" t="s">
        <v>1062</v>
      </c>
      <c r="C54" s="210" t="s">
        <v>1061</v>
      </c>
      <c r="D54" s="205" t="s">
        <v>1060</v>
      </c>
      <c r="E54" s="205" t="s">
        <v>1059</v>
      </c>
      <c r="F54" s="221" t="s">
        <v>1058</v>
      </c>
      <c r="G54" s="205">
        <v>50</v>
      </c>
      <c r="H54" s="205" t="s">
        <v>1057</v>
      </c>
      <c r="I54" s="223">
        <v>9663</v>
      </c>
      <c r="J54" s="207" t="s">
        <v>106</v>
      </c>
      <c r="K54" s="208" t="s">
        <v>106</v>
      </c>
      <c r="L54" s="208"/>
      <c r="M54" s="208"/>
      <c r="N54" s="208"/>
      <c r="O54" s="109"/>
    </row>
    <row r="55" spans="1:15" ht="47.25">
      <c r="A55" s="203">
        <v>48</v>
      </c>
      <c r="B55" s="218" t="s">
        <v>1056</v>
      </c>
      <c r="C55" s="210" t="s">
        <v>1055</v>
      </c>
      <c r="D55" s="205" t="s">
        <v>1054</v>
      </c>
      <c r="E55" s="205" t="s">
        <v>1053</v>
      </c>
      <c r="F55" s="221" t="s">
        <v>1047</v>
      </c>
      <c r="G55" s="205">
        <v>50</v>
      </c>
      <c r="H55" s="205" t="s">
        <v>1052</v>
      </c>
      <c r="I55" s="215">
        <v>28000</v>
      </c>
      <c r="J55" s="207"/>
      <c r="K55" s="208" t="s">
        <v>106</v>
      </c>
      <c r="L55" s="208"/>
      <c r="M55" s="208" t="s">
        <v>106</v>
      </c>
      <c r="N55" s="208"/>
      <c r="O55" s="109"/>
    </row>
    <row r="56" spans="1:15" ht="75" customHeight="1">
      <c r="A56" s="203">
        <v>49</v>
      </c>
      <c r="B56" s="218" t="s">
        <v>1051</v>
      </c>
      <c r="C56" s="210" t="s">
        <v>1050</v>
      </c>
      <c r="D56" s="205" t="s">
        <v>1049</v>
      </c>
      <c r="E56" s="205" t="s">
        <v>1048</v>
      </c>
      <c r="F56" s="221" t="s">
        <v>1047</v>
      </c>
      <c r="G56" s="205">
        <v>50</v>
      </c>
      <c r="H56" s="210" t="s">
        <v>1046</v>
      </c>
      <c r="I56" s="230">
        <v>115381</v>
      </c>
      <c r="J56" s="207"/>
      <c r="K56" s="208" t="s">
        <v>106</v>
      </c>
      <c r="L56" s="208" t="s">
        <v>106</v>
      </c>
      <c r="M56" s="208"/>
      <c r="N56" s="208"/>
      <c r="O56" s="109"/>
    </row>
    <row r="57" spans="1:15" ht="55.5" customHeight="1">
      <c r="A57" s="203">
        <v>50</v>
      </c>
      <c r="B57" s="218" t="s">
        <v>1045</v>
      </c>
      <c r="C57" s="210" t="s">
        <v>1044</v>
      </c>
      <c r="D57" s="205" t="s">
        <v>1043</v>
      </c>
      <c r="E57" s="205" t="s">
        <v>1042</v>
      </c>
      <c r="F57" s="210" t="s">
        <v>1041</v>
      </c>
      <c r="G57" s="210">
        <v>50</v>
      </c>
      <c r="H57" s="210" t="s">
        <v>1040</v>
      </c>
      <c r="I57" s="215">
        <v>62890</v>
      </c>
      <c r="J57" s="215" t="s">
        <v>106</v>
      </c>
      <c r="K57" s="210" t="s">
        <v>106</v>
      </c>
      <c r="L57" s="210"/>
      <c r="M57" s="210"/>
      <c r="N57" s="210"/>
      <c r="O57" s="109"/>
    </row>
    <row r="58" spans="1:15" ht="99.75" customHeight="1">
      <c r="A58" s="203">
        <v>51</v>
      </c>
      <c r="B58" s="218" t="s">
        <v>139</v>
      </c>
      <c r="C58" s="210" t="s">
        <v>1039</v>
      </c>
      <c r="D58" s="205" t="s">
        <v>140</v>
      </c>
      <c r="E58" s="205" t="s">
        <v>141</v>
      </c>
      <c r="F58" s="210" t="s">
        <v>1038</v>
      </c>
      <c r="G58" s="210">
        <v>50</v>
      </c>
      <c r="H58" s="210">
        <v>13.82</v>
      </c>
      <c r="I58" s="215">
        <v>280000</v>
      </c>
      <c r="J58" s="215"/>
      <c r="K58" s="210" t="s">
        <v>106</v>
      </c>
      <c r="L58" s="210" t="s">
        <v>106</v>
      </c>
      <c r="M58" s="210"/>
      <c r="N58" s="210"/>
      <c r="O58" s="109"/>
    </row>
    <row r="59" spans="1:15" ht="87.75" customHeight="1">
      <c r="A59" s="203">
        <v>52</v>
      </c>
      <c r="B59" s="218" t="s">
        <v>1037</v>
      </c>
      <c r="C59" s="210" t="s">
        <v>1036</v>
      </c>
      <c r="D59" s="205" t="s">
        <v>1035</v>
      </c>
      <c r="E59" s="205" t="s">
        <v>1034</v>
      </c>
      <c r="F59" s="221" t="s">
        <v>1033</v>
      </c>
      <c r="G59" s="205">
        <v>50</v>
      </c>
      <c r="H59" s="205"/>
      <c r="I59" s="215">
        <v>136471</v>
      </c>
      <c r="J59" s="207"/>
      <c r="K59" s="208" t="s">
        <v>106</v>
      </c>
      <c r="L59" s="208" t="s">
        <v>106</v>
      </c>
      <c r="M59" s="208"/>
      <c r="N59" s="208"/>
      <c r="O59" s="109"/>
    </row>
    <row r="60" spans="1:15" ht="72.75" customHeight="1">
      <c r="A60" s="203">
        <v>53</v>
      </c>
      <c r="B60" s="218" t="s">
        <v>1032</v>
      </c>
      <c r="C60" s="210" t="s">
        <v>1031</v>
      </c>
      <c r="D60" s="205" t="s">
        <v>1030</v>
      </c>
      <c r="E60" s="205" t="s">
        <v>1029</v>
      </c>
      <c r="F60" s="221" t="s">
        <v>1028</v>
      </c>
      <c r="G60" s="205">
        <v>50</v>
      </c>
      <c r="H60" s="205" t="s">
        <v>1027</v>
      </c>
      <c r="I60" s="215">
        <v>30000</v>
      </c>
      <c r="J60" s="207"/>
      <c r="K60" s="208" t="s">
        <v>106</v>
      </c>
      <c r="L60" s="208" t="s">
        <v>106</v>
      </c>
      <c r="M60" s="208"/>
      <c r="N60" s="208"/>
      <c r="O60" s="109"/>
    </row>
    <row r="61" spans="1:15" ht="72.75" customHeight="1">
      <c r="A61" s="203">
        <v>54</v>
      </c>
      <c r="B61" s="218" t="s">
        <v>1026</v>
      </c>
      <c r="C61" s="210" t="s">
        <v>1025</v>
      </c>
      <c r="D61" s="205" t="s">
        <v>1024</v>
      </c>
      <c r="E61" s="205" t="s">
        <v>1023</v>
      </c>
      <c r="F61" s="221" t="s">
        <v>1022</v>
      </c>
      <c r="G61" s="205">
        <v>50</v>
      </c>
      <c r="H61" s="205"/>
      <c r="I61" s="230">
        <v>68000</v>
      </c>
      <c r="J61" s="207"/>
      <c r="K61" s="208" t="s">
        <v>106</v>
      </c>
      <c r="L61" s="208"/>
      <c r="M61" s="208" t="s">
        <v>106</v>
      </c>
      <c r="N61" s="208"/>
      <c r="O61" s="109"/>
    </row>
    <row r="62" spans="1:15" ht="66.75" customHeight="1">
      <c r="A62" s="203">
        <v>55</v>
      </c>
      <c r="B62" s="218" t="s">
        <v>1021</v>
      </c>
      <c r="C62" s="210" t="s">
        <v>1020</v>
      </c>
      <c r="D62" s="205" t="s">
        <v>946</v>
      </c>
      <c r="E62" s="205" t="s">
        <v>1019</v>
      </c>
      <c r="F62" s="221" t="s">
        <v>1018</v>
      </c>
      <c r="G62" s="205">
        <v>50</v>
      </c>
      <c r="H62" s="205"/>
      <c r="I62" s="215">
        <v>10000</v>
      </c>
      <c r="J62" s="207"/>
      <c r="K62" s="208"/>
      <c r="L62" s="208"/>
      <c r="M62" s="208" t="s">
        <v>106</v>
      </c>
      <c r="N62" s="208"/>
      <c r="O62" s="109"/>
    </row>
    <row r="63" spans="1:15" ht="31.5">
      <c r="A63" s="203">
        <v>56</v>
      </c>
      <c r="B63" s="218" t="s">
        <v>1017</v>
      </c>
      <c r="C63" s="210" t="s">
        <v>1016</v>
      </c>
      <c r="D63" s="205" t="s">
        <v>1015</v>
      </c>
      <c r="E63" s="205" t="s">
        <v>1014</v>
      </c>
      <c r="F63" s="221" t="s">
        <v>1013</v>
      </c>
      <c r="G63" s="205">
        <v>50</v>
      </c>
      <c r="H63" s="205"/>
      <c r="I63" s="215">
        <v>88731</v>
      </c>
      <c r="J63" s="207"/>
      <c r="K63" s="208" t="s">
        <v>106</v>
      </c>
      <c r="L63" s="208"/>
      <c r="M63" s="208" t="s">
        <v>106</v>
      </c>
      <c r="N63" s="208"/>
      <c r="O63" s="109"/>
    </row>
    <row r="64" spans="1:15" ht="69" customHeight="1">
      <c r="A64" s="203">
        <v>57</v>
      </c>
      <c r="B64" s="218" t="s">
        <v>1012</v>
      </c>
      <c r="C64" s="210" t="s">
        <v>327</v>
      </c>
      <c r="D64" s="205" t="s">
        <v>931</v>
      </c>
      <c r="E64" s="205" t="s">
        <v>1011</v>
      </c>
      <c r="F64" s="221" t="s">
        <v>1010</v>
      </c>
      <c r="G64" s="205">
        <v>50</v>
      </c>
      <c r="H64" s="205"/>
      <c r="I64" s="215">
        <v>92000</v>
      </c>
      <c r="J64" s="207"/>
      <c r="K64" s="208" t="s">
        <v>106</v>
      </c>
      <c r="L64" s="208"/>
      <c r="M64" s="208" t="s">
        <v>106</v>
      </c>
      <c r="N64" s="208"/>
      <c r="O64" s="109"/>
    </row>
    <row r="65" spans="1:15" ht="47.25">
      <c r="A65" s="203">
        <v>58</v>
      </c>
      <c r="B65" s="218" t="s">
        <v>1009</v>
      </c>
      <c r="C65" s="210" t="s">
        <v>1008</v>
      </c>
      <c r="D65" s="205" t="s">
        <v>930</v>
      </c>
      <c r="E65" s="205" t="s">
        <v>1007</v>
      </c>
      <c r="F65" s="221" t="s">
        <v>1006</v>
      </c>
      <c r="G65" s="205">
        <v>50</v>
      </c>
      <c r="H65" s="205"/>
      <c r="I65" s="215">
        <v>28800</v>
      </c>
      <c r="J65" s="207"/>
      <c r="K65" s="208"/>
      <c r="L65" s="208"/>
      <c r="M65" s="208" t="s">
        <v>106</v>
      </c>
      <c r="N65" s="208"/>
      <c r="O65" s="109"/>
    </row>
    <row r="66" spans="1:15" ht="68.25" customHeight="1">
      <c r="A66" s="203">
        <v>59</v>
      </c>
      <c r="B66" s="218" t="s">
        <v>1005</v>
      </c>
      <c r="C66" s="210" t="s">
        <v>1004</v>
      </c>
      <c r="D66" s="205" t="s">
        <v>328</v>
      </c>
      <c r="E66" s="205" t="s">
        <v>1003</v>
      </c>
      <c r="F66" s="221" t="s">
        <v>1002</v>
      </c>
      <c r="G66" s="205">
        <v>50</v>
      </c>
      <c r="H66" s="205"/>
      <c r="I66" s="215">
        <v>58000</v>
      </c>
      <c r="J66" s="207"/>
      <c r="K66" s="208"/>
      <c r="L66" s="208"/>
      <c r="M66" s="208" t="s">
        <v>106</v>
      </c>
      <c r="N66" s="208"/>
      <c r="O66" s="109"/>
    </row>
    <row r="67" spans="1:15" ht="57" customHeight="1">
      <c r="A67" s="203">
        <v>60</v>
      </c>
      <c r="B67" s="218" t="s">
        <v>1001</v>
      </c>
      <c r="C67" s="210" t="s">
        <v>1000</v>
      </c>
      <c r="D67" s="205" t="s">
        <v>927</v>
      </c>
      <c r="E67" s="205" t="s">
        <v>999</v>
      </c>
      <c r="F67" s="221" t="s">
        <v>998</v>
      </c>
      <c r="G67" s="205">
        <v>50</v>
      </c>
      <c r="H67" s="205"/>
      <c r="I67" s="215">
        <v>23000</v>
      </c>
      <c r="J67" s="207"/>
      <c r="K67" s="208"/>
      <c r="L67" s="208"/>
      <c r="M67" s="208" t="s">
        <v>106</v>
      </c>
      <c r="N67" s="208"/>
      <c r="O67" s="109"/>
    </row>
    <row r="68" spans="1:15" ht="64.5" customHeight="1">
      <c r="A68" s="203">
        <v>61</v>
      </c>
      <c r="B68" s="218" t="s">
        <v>997</v>
      </c>
      <c r="C68" s="210" t="s">
        <v>329</v>
      </c>
      <c r="D68" s="205" t="s">
        <v>935</v>
      </c>
      <c r="E68" s="205" t="s">
        <v>996</v>
      </c>
      <c r="F68" s="221" t="s">
        <v>995</v>
      </c>
      <c r="G68" s="205">
        <v>50</v>
      </c>
      <c r="H68" s="205"/>
      <c r="I68" s="215">
        <v>18000</v>
      </c>
      <c r="J68" s="207"/>
      <c r="K68" s="208"/>
      <c r="L68" s="208"/>
      <c r="M68" s="208" t="s">
        <v>106</v>
      </c>
      <c r="N68" s="208"/>
      <c r="O68" s="109"/>
    </row>
    <row r="69" spans="1:15" ht="68.25" customHeight="1">
      <c r="A69" s="203">
        <v>62</v>
      </c>
      <c r="B69" s="218" t="s">
        <v>994</v>
      </c>
      <c r="C69" s="210" t="s">
        <v>330</v>
      </c>
      <c r="D69" s="205" t="s">
        <v>993</v>
      </c>
      <c r="E69" s="205" t="s">
        <v>992</v>
      </c>
      <c r="F69" s="221" t="s">
        <v>991</v>
      </c>
      <c r="G69" s="205">
        <v>50</v>
      </c>
      <c r="H69" s="205" t="s">
        <v>1269</v>
      </c>
      <c r="I69" s="215">
        <v>58000</v>
      </c>
      <c r="J69" s="207"/>
      <c r="K69" s="208"/>
      <c r="L69" s="208"/>
      <c r="M69" s="208" t="s">
        <v>106</v>
      </c>
      <c r="N69" s="208"/>
      <c r="O69" s="109"/>
    </row>
    <row r="71" spans="1:15" ht="47.25" customHeight="1">
      <c r="A71" s="372" t="s">
        <v>1314</v>
      </c>
      <c r="B71" s="372"/>
      <c r="C71" s="372"/>
      <c r="D71" s="372"/>
      <c r="E71" s="372"/>
      <c r="F71" s="372"/>
      <c r="G71" s="372"/>
      <c r="H71" s="372"/>
      <c r="I71" s="372"/>
      <c r="J71" s="372"/>
      <c r="K71" s="372"/>
      <c r="L71" s="372"/>
      <c r="M71" s="372"/>
      <c r="N71" s="372"/>
    </row>
    <row r="73" spans="1:15">
      <c r="I73" s="253"/>
    </row>
  </sheetData>
  <mergeCells count="14">
    <mergeCell ref="A3:N3"/>
    <mergeCell ref="D4:D5"/>
    <mergeCell ref="A1:N1"/>
    <mergeCell ref="A71:N71"/>
    <mergeCell ref="E4:E5"/>
    <mergeCell ref="G4:G5"/>
    <mergeCell ref="I4:I5"/>
    <mergeCell ref="A2:N2"/>
    <mergeCell ref="H4:H5"/>
    <mergeCell ref="A4:A5"/>
    <mergeCell ref="C4:C5"/>
    <mergeCell ref="J4:N4"/>
    <mergeCell ref="F4:F5"/>
    <mergeCell ref="B4:B5"/>
  </mergeCells>
  <pageMargins left="0.5" right="0.32" top="0.44" bottom="0.35" header="0.3" footer="0.3"/>
  <pageSetup paperSize="9" scale="66" fitToHeight="0" orientation="landscape" r:id="rId1"/>
  <headerFooter>
    <oddHeader>Page &amp;P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8"/>
  <sheetViews>
    <sheetView zoomScale="115" zoomScaleNormal="115" workbookViewId="0">
      <selection activeCell="B3" sqref="B3:B4"/>
    </sheetView>
  </sheetViews>
  <sheetFormatPr defaultColWidth="8.25" defaultRowHeight="15.75"/>
  <cols>
    <col min="1" max="1" width="5.875" style="43" customWidth="1"/>
    <col min="2" max="2" width="27" style="62" customWidth="1"/>
    <col min="3" max="3" width="16.5" style="61" customWidth="1"/>
    <col min="4" max="4" width="13.25" style="43" customWidth="1"/>
    <col min="5" max="5" width="12.375" style="43" customWidth="1"/>
    <col min="6" max="6" width="11.625" style="43" customWidth="1"/>
    <col min="7" max="7" width="13.5" style="43" customWidth="1"/>
    <col min="8" max="8" width="12.5" style="43" customWidth="1"/>
    <col min="9" max="9" width="10.5" style="43" customWidth="1"/>
    <col min="10" max="10" width="8.5" style="43" customWidth="1"/>
    <col min="11" max="12" width="8.25" style="61"/>
    <col min="13" max="13" width="12.5" style="61" bestFit="1" customWidth="1"/>
    <col min="14" max="16384" width="8.25" style="61"/>
  </cols>
  <sheetData>
    <row r="1" spans="1:10" ht="36" customHeight="1">
      <c r="A1" s="398" t="s">
        <v>1346</v>
      </c>
      <c r="B1" s="399"/>
      <c r="C1" s="399"/>
      <c r="D1" s="399"/>
      <c r="E1" s="399"/>
      <c r="F1" s="399"/>
      <c r="G1" s="399"/>
      <c r="H1" s="399"/>
      <c r="I1" s="399"/>
      <c r="J1" s="400"/>
    </row>
    <row r="2" spans="1:10" ht="36" customHeight="1">
      <c r="A2" s="403" t="str">
        <f>'Các dự án được chấp thuận CTĐT'!A2:N2</f>
        <v>(Kèm theo Báo cáo số 134-BC/TU, ngày 02/3/2026 của Ban Chấp hành Đảng bộ tỉnh)
-----</v>
      </c>
      <c r="B2" s="403"/>
      <c r="C2" s="403"/>
      <c r="D2" s="403"/>
      <c r="E2" s="403"/>
      <c r="F2" s="403"/>
      <c r="G2" s="403"/>
      <c r="H2" s="403"/>
      <c r="I2" s="403"/>
      <c r="J2" s="403"/>
    </row>
    <row r="3" spans="1:10" ht="36.75" customHeight="1">
      <c r="A3" s="351" t="s">
        <v>0</v>
      </c>
      <c r="B3" s="402" t="s">
        <v>144</v>
      </c>
      <c r="C3" s="351" t="s">
        <v>145</v>
      </c>
      <c r="D3" s="351" t="s">
        <v>146</v>
      </c>
      <c r="E3" s="351" t="s">
        <v>147</v>
      </c>
      <c r="F3" s="351" t="s">
        <v>148</v>
      </c>
      <c r="G3" s="351"/>
      <c r="H3" s="351" t="s">
        <v>149</v>
      </c>
      <c r="I3" s="351" t="s">
        <v>304</v>
      </c>
      <c r="J3" s="351" t="s">
        <v>150</v>
      </c>
    </row>
    <row r="4" spans="1:10" ht="63" customHeight="1">
      <c r="A4" s="351"/>
      <c r="B4" s="402"/>
      <c r="C4" s="351"/>
      <c r="D4" s="351"/>
      <c r="E4" s="351"/>
      <c r="F4" s="49" t="s">
        <v>305</v>
      </c>
      <c r="G4" s="49" t="s">
        <v>306</v>
      </c>
      <c r="H4" s="351"/>
      <c r="I4" s="351"/>
      <c r="J4" s="351"/>
    </row>
    <row r="5" spans="1:10" ht="20.25" customHeight="1">
      <c r="A5" s="85" t="s">
        <v>151</v>
      </c>
      <c r="B5" s="85" t="s">
        <v>152</v>
      </c>
      <c r="C5" s="85" t="s">
        <v>153</v>
      </c>
      <c r="D5" s="85" t="s">
        <v>154</v>
      </c>
      <c r="E5" s="85" t="s">
        <v>155</v>
      </c>
      <c r="F5" s="85" t="s">
        <v>156</v>
      </c>
      <c r="G5" s="85" t="s">
        <v>157</v>
      </c>
      <c r="H5" s="85" t="s">
        <v>158</v>
      </c>
      <c r="I5" s="85" t="s">
        <v>159</v>
      </c>
      <c r="J5" s="85" t="s">
        <v>160</v>
      </c>
    </row>
    <row r="6" spans="1:10" ht="22.5" customHeight="1">
      <c r="A6" s="401" t="s">
        <v>923</v>
      </c>
      <c r="B6" s="401"/>
      <c r="C6" s="54"/>
      <c r="D6" s="44"/>
      <c r="E6" s="44"/>
      <c r="F6" s="44"/>
      <c r="G6" s="44"/>
      <c r="H6" s="44"/>
      <c r="I6" s="44"/>
      <c r="J6" s="44"/>
    </row>
    <row r="7" spans="1:10" ht="22.5" customHeight="1">
      <c r="A7" s="64">
        <v>1</v>
      </c>
      <c r="B7" s="63" t="s">
        <v>243</v>
      </c>
      <c r="C7" s="390" t="s">
        <v>922</v>
      </c>
      <c r="D7" s="7" t="s">
        <v>244</v>
      </c>
      <c r="E7" s="7" t="s">
        <v>245</v>
      </c>
      <c r="F7" s="7" t="s">
        <v>229</v>
      </c>
      <c r="G7" s="7" t="s">
        <v>921</v>
      </c>
      <c r="H7" s="13">
        <f>2.5/8</f>
        <v>0.3125</v>
      </c>
      <c r="I7" s="7" t="s">
        <v>246</v>
      </c>
      <c r="J7" s="69">
        <v>2023</v>
      </c>
    </row>
    <row r="8" spans="1:10" ht="22.5" customHeight="1">
      <c r="A8" s="64">
        <v>2</v>
      </c>
      <c r="B8" s="63" t="s">
        <v>920</v>
      </c>
      <c r="C8" s="390"/>
      <c r="D8" s="44" t="s">
        <v>896</v>
      </c>
      <c r="E8" s="7" t="s">
        <v>228</v>
      </c>
      <c r="F8" s="7" t="s">
        <v>896</v>
      </c>
      <c r="G8" s="7" t="s">
        <v>919</v>
      </c>
      <c r="H8" s="13">
        <f>2/3</f>
        <v>0.66666666666666663</v>
      </c>
      <c r="I8" s="7" t="s">
        <v>246</v>
      </c>
      <c r="J8" s="69">
        <v>2023</v>
      </c>
    </row>
    <row r="9" spans="1:10" ht="22.5" customHeight="1">
      <c r="A9" s="64">
        <v>3</v>
      </c>
      <c r="B9" s="63" t="s">
        <v>250</v>
      </c>
      <c r="C9" s="64" t="s">
        <v>251</v>
      </c>
      <c r="D9" s="7" t="s">
        <v>171</v>
      </c>
      <c r="E9" s="7" t="s">
        <v>164</v>
      </c>
      <c r="F9" s="7" t="s">
        <v>164</v>
      </c>
      <c r="G9" s="7" t="s">
        <v>172</v>
      </c>
      <c r="H9" s="13">
        <f>40/80</f>
        <v>0.5</v>
      </c>
      <c r="I9" s="7" t="s">
        <v>175</v>
      </c>
      <c r="J9" s="81">
        <v>2023</v>
      </c>
    </row>
    <row r="10" spans="1:10" ht="22.5" customHeight="1">
      <c r="A10" s="64">
        <v>4</v>
      </c>
      <c r="B10" s="63" t="s">
        <v>918</v>
      </c>
      <c r="C10" s="64" t="s">
        <v>917</v>
      </c>
      <c r="D10" s="7" t="s">
        <v>246</v>
      </c>
      <c r="E10" s="7" t="s">
        <v>272</v>
      </c>
      <c r="F10" s="7" t="s">
        <v>273</v>
      </c>
      <c r="G10" s="7" t="s">
        <v>274</v>
      </c>
      <c r="H10" s="13">
        <f>5/35</f>
        <v>0.14285714285714285</v>
      </c>
      <c r="I10" s="7" t="s">
        <v>916</v>
      </c>
      <c r="J10" s="81">
        <v>2022</v>
      </c>
    </row>
    <row r="11" spans="1:10" ht="22.5" customHeight="1">
      <c r="A11" s="64">
        <v>5</v>
      </c>
      <c r="B11" s="63" t="s">
        <v>915</v>
      </c>
      <c r="C11" s="64" t="s">
        <v>914</v>
      </c>
      <c r="D11" s="44" t="s">
        <v>178</v>
      </c>
      <c r="E11" s="44" t="s">
        <v>218</v>
      </c>
      <c r="F11" s="44" t="s">
        <v>233</v>
      </c>
      <c r="G11" s="44" t="s">
        <v>233</v>
      </c>
      <c r="H11" s="68">
        <f>0.1/0.2</f>
        <v>0.5</v>
      </c>
      <c r="I11" s="69" t="s">
        <v>182</v>
      </c>
      <c r="J11" s="44">
        <v>2022</v>
      </c>
    </row>
    <row r="12" spans="1:10" ht="22.5" customHeight="1">
      <c r="A12" s="64">
        <v>6</v>
      </c>
      <c r="B12" s="63" t="s">
        <v>913</v>
      </c>
      <c r="C12" s="64" t="s">
        <v>894</v>
      </c>
      <c r="D12" s="44" t="s">
        <v>167</v>
      </c>
      <c r="E12" s="44" t="s">
        <v>170</v>
      </c>
      <c r="F12" s="44" t="s">
        <v>232</v>
      </c>
      <c r="G12" s="44" t="s">
        <v>232</v>
      </c>
      <c r="H12" s="68">
        <f>1/5</f>
        <v>0.2</v>
      </c>
      <c r="I12" s="69" t="s">
        <v>168</v>
      </c>
      <c r="J12" s="44">
        <v>2022</v>
      </c>
    </row>
    <row r="13" spans="1:10" ht="22.5" customHeight="1">
      <c r="A13" s="64">
        <v>7</v>
      </c>
      <c r="B13" s="63" t="s">
        <v>912</v>
      </c>
      <c r="C13" s="64" t="s">
        <v>253</v>
      </c>
      <c r="D13" s="44" t="s">
        <v>911</v>
      </c>
      <c r="E13" s="44" t="s">
        <v>192</v>
      </c>
      <c r="F13" s="44" t="s">
        <v>174</v>
      </c>
      <c r="G13" s="44" t="s">
        <v>174</v>
      </c>
      <c r="H13" s="68">
        <f>50/300</f>
        <v>0.16666666666666666</v>
      </c>
      <c r="I13" s="69" t="s">
        <v>188</v>
      </c>
      <c r="J13" s="44">
        <v>2022</v>
      </c>
    </row>
    <row r="14" spans="1:10" ht="22.5" customHeight="1">
      <c r="A14" s="64">
        <v>8</v>
      </c>
      <c r="B14" s="63" t="s">
        <v>910</v>
      </c>
      <c r="C14" s="390" t="s">
        <v>909</v>
      </c>
      <c r="D14" s="44" t="s">
        <v>167</v>
      </c>
      <c r="E14" s="44" t="s">
        <v>169</v>
      </c>
      <c r="F14" s="44" t="s">
        <v>170</v>
      </c>
      <c r="G14" s="44" t="s">
        <v>170</v>
      </c>
      <c r="H14" s="68">
        <f>1/3</f>
        <v>0.33333333333333331</v>
      </c>
      <c r="I14" s="69" t="s">
        <v>168</v>
      </c>
      <c r="J14" s="44">
        <v>2023</v>
      </c>
    </row>
    <row r="15" spans="1:10" ht="22.5" customHeight="1">
      <c r="A15" s="64">
        <v>9</v>
      </c>
      <c r="B15" s="63" t="s">
        <v>908</v>
      </c>
      <c r="C15" s="390"/>
      <c r="D15" s="44" t="s">
        <v>167</v>
      </c>
      <c r="E15" s="44" t="s">
        <v>169</v>
      </c>
      <c r="F15" s="44" t="s">
        <v>170</v>
      </c>
      <c r="G15" s="44" t="s">
        <v>170</v>
      </c>
      <c r="H15" s="68">
        <f>1/3</f>
        <v>0.33333333333333331</v>
      </c>
      <c r="I15" s="69" t="s">
        <v>168</v>
      </c>
      <c r="J15" s="44">
        <v>2023</v>
      </c>
    </row>
    <row r="16" spans="1:10" ht="30" customHeight="1">
      <c r="A16" s="64">
        <v>10</v>
      </c>
      <c r="B16" s="63" t="s">
        <v>907</v>
      </c>
      <c r="C16" s="390" t="s">
        <v>906</v>
      </c>
      <c r="D16" s="44" t="s">
        <v>184</v>
      </c>
      <c r="E16" s="44" t="s">
        <v>185</v>
      </c>
      <c r="F16" s="44" t="s">
        <v>214</v>
      </c>
      <c r="G16" s="44" t="s">
        <v>214</v>
      </c>
      <c r="H16" s="68">
        <f>0.3/1.2</f>
        <v>0.25</v>
      </c>
      <c r="I16" s="69" t="s">
        <v>170</v>
      </c>
      <c r="J16" s="44">
        <v>2023</v>
      </c>
    </row>
    <row r="17" spans="1:10" ht="30" customHeight="1">
      <c r="A17" s="64">
        <v>11</v>
      </c>
      <c r="B17" s="63" t="s">
        <v>905</v>
      </c>
      <c r="C17" s="390"/>
      <c r="D17" s="44" t="s">
        <v>169</v>
      </c>
      <c r="E17" s="44" t="s">
        <v>185</v>
      </c>
      <c r="F17" s="44" t="s">
        <v>214</v>
      </c>
      <c r="G17" s="44" t="s">
        <v>214</v>
      </c>
      <c r="H17" s="68">
        <f>0.3/1.2</f>
        <v>0.25</v>
      </c>
      <c r="I17" s="69" t="s">
        <v>232</v>
      </c>
      <c r="J17" s="44">
        <v>2023</v>
      </c>
    </row>
    <row r="18" spans="1:10" ht="30" customHeight="1">
      <c r="A18" s="64">
        <v>12</v>
      </c>
      <c r="B18" s="63" t="s">
        <v>904</v>
      </c>
      <c r="C18" s="64" t="s">
        <v>903</v>
      </c>
      <c r="D18" s="44" t="s">
        <v>170</v>
      </c>
      <c r="E18" s="44" t="s">
        <v>185</v>
      </c>
      <c r="F18" s="44" t="s">
        <v>214</v>
      </c>
      <c r="G18" s="44" t="s">
        <v>214</v>
      </c>
      <c r="H18" s="68">
        <f>0.3/1.2</f>
        <v>0.25</v>
      </c>
      <c r="I18" s="69" t="s">
        <v>275</v>
      </c>
      <c r="J18" s="44">
        <v>2023</v>
      </c>
    </row>
    <row r="19" spans="1:10" ht="24" customHeight="1">
      <c r="A19" s="64">
        <v>13</v>
      </c>
      <c r="B19" s="63" t="s">
        <v>902</v>
      </c>
      <c r="C19" s="390" t="s">
        <v>901</v>
      </c>
      <c r="D19" s="44" t="s">
        <v>229</v>
      </c>
      <c r="E19" s="44" t="s">
        <v>896</v>
      </c>
      <c r="F19" s="44" t="s">
        <v>277</v>
      </c>
      <c r="G19" s="44" t="s">
        <v>226</v>
      </c>
      <c r="H19" s="83">
        <f>1/5</f>
        <v>0.2</v>
      </c>
      <c r="I19" s="69" t="s">
        <v>274</v>
      </c>
      <c r="J19" s="44">
        <v>2023</v>
      </c>
    </row>
    <row r="20" spans="1:10" s="84" customFormat="1" ht="24" customHeight="1">
      <c r="A20" s="64">
        <v>14</v>
      </c>
      <c r="B20" s="63" t="s">
        <v>900</v>
      </c>
      <c r="C20" s="390"/>
      <c r="D20" s="44" t="s">
        <v>278</v>
      </c>
      <c r="E20" s="44" t="s">
        <v>229</v>
      </c>
      <c r="F20" s="44" t="s">
        <v>277</v>
      </c>
      <c r="G20" s="44" t="s">
        <v>277</v>
      </c>
      <c r="H20" s="83">
        <f>2/10</f>
        <v>0.2</v>
      </c>
      <c r="I20" s="69" t="s">
        <v>274</v>
      </c>
      <c r="J20" s="44">
        <v>2023</v>
      </c>
    </row>
    <row r="21" spans="1:10" ht="24" customHeight="1">
      <c r="A21" s="64">
        <v>15</v>
      </c>
      <c r="B21" s="63" t="s">
        <v>899</v>
      </c>
      <c r="C21" s="390"/>
      <c r="D21" s="44" t="s">
        <v>229</v>
      </c>
      <c r="E21" s="44" t="s">
        <v>896</v>
      </c>
      <c r="F21" s="44" t="s">
        <v>277</v>
      </c>
      <c r="G21" s="44" t="s">
        <v>226</v>
      </c>
      <c r="H21" s="83">
        <f>1/5</f>
        <v>0.2</v>
      </c>
      <c r="I21" s="69" t="s">
        <v>274</v>
      </c>
      <c r="J21" s="44">
        <v>2023</v>
      </c>
    </row>
    <row r="22" spans="1:10" ht="24" customHeight="1">
      <c r="A22" s="64">
        <v>16</v>
      </c>
      <c r="B22" s="63" t="s">
        <v>898</v>
      </c>
      <c r="C22" s="390"/>
      <c r="D22" s="44" t="s">
        <v>276</v>
      </c>
      <c r="E22" s="44" t="s">
        <v>229</v>
      </c>
      <c r="F22" s="44" t="s">
        <v>277</v>
      </c>
      <c r="G22" s="44" t="s">
        <v>277</v>
      </c>
      <c r="H22" s="83">
        <f>2/10</f>
        <v>0.2</v>
      </c>
      <c r="I22" s="69" t="s">
        <v>274</v>
      </c>
      <c r="J22" s="44">
        <v>2023</v>
      </c>
    </row>
    <row r="23" spans="1:10" ht="24" customHeight="1">
      <c r="A23" s="64">
        <v>17</v>
      </c>
      <c r="B23" s="63" t="s">
        <v>897</v>
      </c>
      <c r="C23" s="390"/>
      <c r="D23" s="44" t="s">
        <v>229</v>
      </c>
      <c r="E23" s="44" t="s">
        <v>896</v>
      </c>
      <c r="F23" s="44" t="s">
        <v>277</v>
      </c>
      <c r="G23" s="44" t="s">
        <v>226</v>
      </c>
      <c r="H23" s="83">
        <f>1/5</f>
        <v>0.2</v>
      </c>
      <c r="I23" s="69" t="s">
        <v>274</v>
      </c>
      <c r="J23" s="44">
        <v>2023</v>
      </c>
    </row>
    <row r="24" spans="1:10" ht="31.5" customHeight="1">
      <c r="A24" s="64">
        <v>18</v>
      </c>
      <c r="B24" s="63" t="s">
        <v>895</v>
      </c>
      <c r="C24" s="64" t="s">
        <v>894</v>
      </c>
      <c r="D24" s="44" t="s">
        <v>186</v>
      </c>
      <c r="E24" s="70" t="s">
        <v>181</v>
      </c>
      <c r="F24" s="70" t="s">
        <v>182</v>
      </c>
      <c r="G24" s="70" t="s">
        <v>182</v>
      </c>
      <c r="H24" s="13">
        <f>0.2/0.8</f>
        <v>0.25</v>
      </c>
      <c r="I24" s="70" t="s">
        <v>170</v>
      </c>
      <c r="J24" s="44">
        <v>2024</v>
      </c>
    </row>
    <row r="25" spans="1:10" ht="31.5" customHeight="1">
      <c r="A25" s="64">
        <v>19</v>
      </c>
      <c r="B25" s="63" t="s">
        <v>893</v>
      </c>
      <c r="C25" s="64" t="s">
        <v>892</v>
      </c>
      <c r="D25" s="44" t="s">
        <v>274</v>
      </c>
      <c r="E25" s="44" t="s">
        <v>229</v>
      </c>
      <c r="F25" s="44" t="s">
        <v>277</v>
      </c>
      <c r="G25" s="44" t="s">
        <v>277</v>
      </c>
      <c r="H25" s="83">
        <f>2/10</f>
        <v>0.2</v>
      </c>
      <c r="I25" s="69" t="s">
        <v>244</v>
      </c>
      <c r="J25" s="44">
        <v>2024</v>
      </c>
    </row>
    <row r="26" spans="1:10" ht="31.5" customHeight="1">
      <c r="A26" s="64">
        <v>20</v>
      </c>
      <c r="B26" s="63" t="s">
        <v>891</v>
      </c>
      <c r="C26" s="64" t="s">
        <v>890</v>
      </c>
      <c r="D26" s="44" t="s">
        <v>167</v>
      </c>
      <c r="E26" s="44" t="s">
        <v>169</v>
      </c>
      <c r="F26" s="44" t="s">
        <v>170</v>
      </c>
      <c r="G26" s="44" t="s">
        <v>170</v>
      </c>
      <c r="H26" s="68">
        <f>1/3</f>
        <v>0.33333333333333331</v>
      </c>
      <c r="I26" s="69" t="s">
        <v>168</v>
      </c>
      <c r="J26" s="44">
        <v>2024</v>
      </c>
    </row>
    <row r="27" spans="1:10" ht="31.5" customHeight="1">
      <c r="A27" s="64">
        <v>21</v>
      </c>
      <c r="B27" s="63" t="s">
        <v>889</v>
      </c>
      <c r="C27" s="64" t="s">
        <v>888</v>
      </c>
      <c r="D27" s="44" t="s">
        <v>278</v>
      </c>
      <c r="E27" s="44" t="s">
        <v>245</v>
      </c>
      <c r="F27" s="44" t="s">
        <v>229</v>
      </c>
      <c r="G27" s="44" t="s">
        <v>229</v>
      </c>
      <c r="H27" s="44">
        <f>2000/8000*100</f>
        <v>25</v>
      </c>
      <c r="I27" s="44" t="s">
        <v>276</v>
      </c>
      <c r="J27" s="44">
        <v>2024</v>
      </c>
    </row>
    <row r="28" spans="1:10" ht="31.5" customHeight="1">
      <c r="A28" s="64">
        <v>22</v>
      </c>
      <c r="B28" s="63" t="s">
        <v>887</v>
      </c>
      <c r="C28" s="64" t="s">
        <v>880</v>
      </c>
      <c r="D28" s="44" t="s">
        <v>886</v>
      </c>
      <c r="E28" s="70" t="s">
        <v>885</v>
      </c>
      <c r="F28" s="70" t="s">
        <v>884</v>
      </c>
      <c r="G28" s="70" t="s">
        <v>883</v>
      </c>
      <c r="H28" s="13">
        <f>600/2000</f>
        <v>0.3</v>
      </c>
      <c r="I28" s="70" t="s">
        <v>882</v>
      </c>
      <c r="J28" s="44">
        <v>2024</v>
      </c>
    </row>
    <row r="29" spans="1:10" ht="31.5" customHeight="1">
      <c r="A29" s="64">
        <v>23</v>
      </c>
      <c r="B29" s="63" t="s">
        <v>881</v>
      </c>
      <c r="C29" s="64" t="s">
        <v>880</v>
      </c>
      <c r="D29" s="44" t="s">
        <v>879</v>
      </c>
      <c r="E29" s="70" t="s">
        <v>878</v>
      </c>
      <c r="F29" s="70" t="s">
        <v>877</v>
      </c>
      <c r="G29" s="70" t="s">
        <v>877</v>
      </c>
      <c r="H29" s="13">
        <f>3/11</f>
        <v>0.27272727272727271</v>
      </c>
      <c r="I29" s="70" t="s">
        <v>876</v>
      </c>
      <c r="J29" s="44">
        <v>2024</v>
      </c>
    </row>
    <row r="30" spans="1:10" ht="31.5" customHeight="1">
      <c r="A30" s="64">
        <v>24</v>
      </c>
      <c r="B30" s="63" t="s">
        <v>875</v>
      </c>
      <c r="C30" s="64" t="s">
        <v>874</v>
      </c>
      <c r="D30" s="44" t="s">
        <v>873</v>
      </c>
      <c r="E30" s="70" t="s">
        <v>710</v>
      </c>
      <c r="F30" s="70" t="s">
        <v>872</v>
      </c>
      <c r="G30" s="70" t="s">
        <v>872</v>
      </c>
      <c r="H30" s="13">
        <f>200/500</f>
        <v>0.4</v>
      </c>
      <c r="I30" s="70" t="s">
        <v>871</v>
      </c>
      <c r="J30" s="44">
        <v>2022</v>
      </c>
    </row>
    <row r="31" spans="1:10" ht="23.25" customHeight="1">
      <c r="A31" s="64">
        <v>25</v>
      </c>
      <c r="B31" s="63" t="s">
        <v>870</v>
      </c>
      <c r="C31" s="390" t="s">
        <v>869</v>
      </c>
      <c r="D31" s="44" t="s">
        <v>278</v>
      </c>
      <c r="E31" s="44" t="s">
        <v>229</v>
      </c>
      <c r="F31" s="44" t="s">
        <v>277</v>
      </c>
      <c r="G31" s="44" t="s">
        <v>277</v>
      </c>
      <c r="H31" s="83">
        <f>2/10</f>
        <v>0.2</v>
      </c>
      <c r="I31" s="69" t="s">
        <v>274</v>
      </c>
      <c r="J31" s="44">
        <v>2023</v>
      </c>
    </row>
    <row r="32" spans="1:10" ht="23.25" customHeight="1">
      <c r="A32" s="64">
        <v>26</v>
      </c>
      <c r="B32" s="63" t="s">
        <v>868</v>
      </c>
      <c r="C32" s="390"/>
      <c r="D32" s="44" t="s">
        <v>278</v>
      </c>
      <c r="E32" s="44" t="s">
        <v>229</v>
      </c>
      <c r="F32" s="44" t="s">
        <v>277</v>
      </c>
      <c r="G32" s="44" t="s">
        <v>277</v>
      </c>
      <c r="H32" s="83">
        <f>2/10</f>
        <v>0.2</v>
      </c>
      <c r="I32" s="69" t="s">
        <v>274</v>
      </c>
      <c r="J32" s="44">
        <v>2023</v>
      </c>
    </row>
    <row r="33" spans="1:13" ht="31.5" customHeight="1">
      <c r="A33" s="64">
        <v>27</v>
      </c>
      <c r="B33" s="63" t="s">
        <v>867</v>
      </c>
      <c r="C33" s="64" t="s">
        <v>866</v>
      </c>
      <c r="D33" s="44" t="s">
        <v>167</v>
      </c>
      <c r="E33" s="44" t="s">
        <v>169</v>
      </c>
      <c r="F33" s="44" t="s">
        <v>170</v>
      </c>
      <c r="G33" s="44" t="s">
        <v>170</v>
      </c>
      <c r="H33" s="68">
        <f>1/3</f>
        <v>0.33333333333333331</v>
      </c>
      <c r="I33" s="69" t="s">
        <v>168</v>
      </c>
      <c r="J33" s="44">
        <v>2023</v>
      </c>
    </row>
    <row r="34" spans="1:13" ht="23.25" customHeight="1">
      <c r="A34" s="383" t="s">
        <v>865</v>
      </c>
      <c r="B34" s="384"/>
      <c r="C34" s="65"/>
      <c r="D34" s="64"/>
      <c r="E34" s="44"/>
      <c r="F34" s="44"/>
      <c r="G34" s="44"/>
      <c r="H34" s="44"/>
      <c r="I34" s="44"/>
      <c r="J34" s="44"/>
    </row>
    <row r="35" spans="1:13" ht="25.5" customHeight="1">
      <c r="A35" s="64">
        <v>1</v>
      </c>
      <c r="B35" s="63" t="s">
        <v>864</v>
      </c>
      <c r="C35" s="390" t="s">
        <v>863</v>
      </c>
      <c r="D35" s="44" t="s">
        <v>168</v>
      </c>
      <c r="E35" s="44" t="s">
        <v>241</v>
      </c>
      <c r="F35" s="44" t="s">
        <v>167</v>
      </c>
      <c r="G35" s="44" t="s">
        <v>167</v>
      </c>
      <c r="H35" s="68">
        <f>1/3</f>
        <v>0.33333333333333331</v>
      </c>
      <c r="I35" s="69" t="s">
        <v>168</v>
      </c>
      <c r="J35" s="44">
        <v>2023</v>
      </c>
    </row>
    <row r="36" spans="1:13" ht="25.5" customHeight="1">
      <c r="A36" s="64">
        <v>2</v>
      </c>
      <c r="B36" s="63" t="s">
        <v>862</v>
      </c>
      <c r="C36" s="390"/>
      <c r="D36" s="44" t="s">
        <v>238</v>
      </c>
      <c r="E36" s="44" t="s">
        <v>169</v>
      </c>
      <c r="F36" s="44" t="s">
        <v>170</v>
      </c>
      <c r="G36" s="44" t="s">
        <v>170</v>
      </c>
      <c r="H36" s="68">
        <f>1/3</f>
        <v>0.33333333333333331</v>
      </c>
      <c r="I36" s="69" t="s">
        <v>168</v>
      </c>
      <c r="J36" s="44">
        <v>2023</v>
      </c>
      <c r="M36" s="86"/>
    </row>
    <row r="37" spans="1:13" ht="25.5" customHeight="1">
      <c r="A37" s="64">
        <v>3</v>
      </c>
      <c r="B37" s="63" t="s">
        <v>240</v>
      </c>
      <c r="C37" s="390"/>
      <c r="D37" s="44" t="s">
        <v>165</v>
      </c>
      <c r="E37" s="44" t="s">
        <v>241</v>
      </c>
      <c r="F37" s="44" t="s">
        <v>167</v>
      </c>
      <c r="G37" s="44" t="s">
        <v>290</v>
      </c>
      <c r="H37" s="68">
        <f>3/11</f>
        <v>0.27272727272727271</v>
      </c>
      <c r="I37" s="69" t="s">
        <v>168</v>
      </c>
      <c r="J37" s="44">
        <v>2023</v>
      </c>
    </row>
    <row r="38" spans="1:13" ht="25.5" customHeight="1">
      <c r="A38" s="64">
        <v>4</v>
      </c>
      <c r="B38" s="63" t="s">
        <v>235</v>
      </c>
      <c r="C38" s="390"/>
      <c r="D38" s="44" t="s">
        <v>165</v>
      </c>
      <c r="E38" s="44" t="s">
        <v>241</v>
      </c>
      <c r="F38" s="44" t="s">
        <v>167</v>
      </c>
      <c r="G38" s="44" t="s">
        <v>290</v>
      </c>
      <c r="H38" s="68">
        <f>3/11</f>
        <v>0.27272727272727271</v>
      </c>
      <c r="I38" s="69" t="s">
        <v>168</v>
      </c>
      <c r="J38" s="44">
        <v>2023</v>
      </c>
    </row>
    <row r="39" spans="1:13" ht="27" customHeight="1">
      <c r="A39" s="64">
        <v>5</v>
      </c>
      <c r="B39" s="63" t="s">
        <v>259</v>
      </c>
      <c r="C39" s="390" t="s">
        <v>260</v>
      </c>
      <c r="D39" s="7" t="s">
        <v>261</v>
      </c>
      <c r="E39" s="7" t="s">
        <v>262</v>
      </c>
      <c r="F39" s="7" t="s">
        <v>263</v>
      </c>
      <c r="G39" s="7" t="s">
        <v>264</v>
      </c>
      <c r="H39" s="13">
        <f>2/5</f>
        <v>0.4</v>
      </c>
      <c r="I39" s="7" t="s">
        <v>265</v>
      </c>
      <c r="J39" s="397">
        <v>2023</v>
      </c>
    </row>
    <row r="40" spans="1:13" ht="27" customHeight="1">
      <c r="A40" s="64">
        <v>6</v>
      </c>
      <c r="B40" s="63" t="s">
        <v>297</v>
      </c>
      <c r="C40" s="390"/>
      <c r="D40" s="7" t="s">
        <v>266</v>
      </c>
      <c r="E40" s="7" t="s">
        <v>267</v>
      </c>
      <c r="F40" s="7" t="s">
        <v>268</v>
      </c>
      <c r="G40" s="7" t="s">
        <v>269</v>
      </c>
      <c r="H40" s="13">
        <f>10/35</f>
        <v>0.2857142857142857</v>
      </c>
      <c r="I40" s="7" t="s">
        <v>270</v>
      </c>
      <c r="J40" s="397"/>
    </row>
    <row r="41" spans="1:13" ht="27" customHeight="1">
      <c r="A41" s="64">
        <v>7</v>
      </c>
      <c r="B41" s="63" t="s">
        <v>861</v>
      </c>
      <c r="C41" s="390"/>
      <c r="D41" s="7" t="s">
        <v>261</v>
      </c>
      <c r="E41" s="7" t="s">
        <v>262</v>
      </c>
      <c r="F41" s="7" t="s">
        <v>263</v>
      </c>
      <c r="G41" s="7" t="s">
        <v>264</v>
      </c>
      <c r="H41" s="13">
        <f>2/5</f>
        <v>0.4</v>
      </c>
      <c r="I41" s="7" t="s">
        <v>265</v>
      </c>
      <c r="J41" s="44">
        <v>2023</v>
      </c>
    </row>
    <row r="42" spans="1:13" ht="27" customHeight="1">
      <c r="A42" s="64">
        <v>8</v>
      </c>
      <c r="B42" s="66" t="s">
        <v>281</v>
      </c>
      <c r="C42" s="71" t="s">
        <v>860</v>
      </c>
      <c r="D42" s="44" t="s">
        <v>859</v>
      </c>
      <c r="E42" s="44" t="s">
        <v>858</v>
      </c>
      <c r="F42" s="44" t="s">
        <v>857</v>
      </c>
      <c r="G42" s="44" t="s">
        <v>857</v>
      </c>
      <c r="H42" s="70">
        <f>10000/30000*100</f>
        <v>33.333333333333329</v>
      </c>
      <c r="I42" s="44" t="s">
        <v>856</v>
      </c>
      <c r="J42" s="44">
        <v>2024</v>
      </c>
    </row>
    <row r="43" spans="1:13" ht="27" customHeight="1">
      <c r="A43" s="64">
        <v>9</v>
      </c>
      <c r="B43" s="66" t="s">
        <v>855</v>
      </c>
      <c r="C43" s="71" t="s">
        <v>260</v>
      </c>
      <c r="D43" s="7" t="s">
        <v>279</v>
      </c>
      <c r="E43" s="7" t="s">
        <v>280</v>
      </c>
      <c r="F43" s="7" t="s">
        <v>854</v>
      </c>
      <c r="G43" s="7" t="s">
        <v>853</v>
      </c>
      <c r="H43" s="13">
        <f>400/1500</f>
        <v>0.26666666666666666</v>
      </c>
      <c r="I43" s="7" t="s">
        <v>292</v>
      </c>
      <c r="J43" s="81">
        <v>2024</v>
      </c>
    </row>
    <row r="44" spans="1:13" ht="27" customHeight="1">
      <c r="A44" s="64">
        <v>10</v>
      </c>
      <c r="B44" s="63" t="s">
        <v>852</v>
      </c>
      <c r="C44" s="389" t="s">
        <v>851</v>
      </c>
      <c r="D44" s="44" t="s">
        <v>232</v>
      </c>
      <c r="E44" s="7" t="s">
        <v>214</v>
      </c>
      <c r="F44" s="7" t="s">
        <v>183</v>
      </c>
      <c r="G44" s="7" t="s">
        <v>210</v>
      </c>
      <c r="H44" s="13">
        <f>10/15</f>
        <v>0.66666666666666663</v>
      </c>
      <c r="I44" s="44" t="s">
        <v>167</v>
      </c>
      <c r="J44" s="44">
        <v>2023</v>
      </c>
    </row>
    <row r="45" spans="1:13" ht="27" customHeight="1">
      <c r="A45" s="64">
        <v>11</v>
      </c>
      <c r="B45" s="63" t="s">
        <v>840</v>
      </c>
      <c r="C45" s="389"/>
      <c r="D45" s="44" t="s">
        <v>178</v>
      </c>
      <c r="E45" s="44" t="s">
        <v>234</v>
      </c>
      <c r="F45" s="44" t="s">
        <v>234</v>
      </c>
      <c r="G45" s="44" t="s">
        <v>271</v>
      </c>
      <c r="H45" s="13">
        <f>0.01/0.05</f>
        <v>0.19999999999999998</v>
      </c>
      <c r="I45" s="7" t="s">
        <v>182</v>
      </c>
      <c r="J45" s="44">
        <v>2024</v>
      </c>
    </row>
    <row r="46" spans="1:13" ht="21.75" customHeight="1">
      <c r="A46" s="64">
        <v>12</v>
      </c>
      <c r="B46" s="63" t="s">
        <v>850</v>
      </c>
      <c r="C46" s="393" t="s">
        <v>849</v>
      </c>
      <c r="D46" s="44" t="s">
        <v>165</v>
      </c>
      <c r="E46" s="44" t="s">
        <v>170</v>
      </c>
      <c r="F46" s="44" t="s">
        <v>848</v>
      </c>
      <c r="G46" s="44" t="s">
        <v>241</v>
      </c>
      <c r="H46" s="68">
        <f>3/5</f>
        <v>0.6</v>
      </c>
      <c r="I46" s="69" t="s">
        <v>846</v>
      </c>
      <c r="J46" s="44">
        <v>2022</v>
      </c>
    </row>
    <row r="47" spans="1:13" ht="21.75" customHeight="1">
      <c r="A47" s="64">
        <v>13</v>
      </c>
      <c r="B47" s="63" t="s">
        <v>847</v>
      </c>
      <c r="C47" s="393"/>
      <c r="D47" s="44" t="s">
        <v>165</v>
      </c>
      <c r="E47" s="44" t="s">
        <v>170</v>
      </c>
      <c r="F47" s="44" t="s">
        <v>241</v>
      </c>
      <c r="G47" s="44" t="s">
        <v>241</v>
      </c>
      <c r="H47" s="68">
        <f>3/5</f>
        <v>0.6</v>
      </c>
      <c r="I47" s="69" t="s">
        <v>846</v>
      </c>
      <c r="J47" s="44">
        <v>2022</v>
      </c>
    </row>
    <row r="48" spans="1:13" ht="21.75" customHeight="1">
      <c r="A48" s="64">
        <v>14</v>
      </c>
      <c r="B48" s="63" t="s">
        <v>845</v>
      </c>
      <c r="C48" s="393"/>
      <c r="D48" s="44" t="s">
        <v>238</v>
      </c>
      <c r="E48" s="44" t="s">
        <v>169</v>
      </c>
      <c r="F48" s="44" t="s">
        <v>170</v>
      </c>
      <c r="G48" s="44" t="s">
        <v>170</v>
      </c>
      <c r="H48" s="68">
        <f>1/3</f>
        <v>0.33333333333333331</v>
      </c>
      <c r="I48" s="69" t="s">
        <v>168</v>
      </c>
      <c r="J48" s="44">
        <v>2022</v>
      </c>
    </row>
    <row r="49" spans="1:10" ht="21.75" customHeight="1">
      <c r="A49" s="64">
        <v>15</v>
      </c>
      <c r="B49" s="63" t="s">
        <v>844</v>
      </c>
      <c r="C49" s="393"/>
      <c r="D49" s="44" t="s">
        <v>690</v>
      </c>
      <c r="E49" s="44" t="s">
        <v>693</v>
      </c>
      <c r="F49" s="44" t="s">
        <v>843</v>
      </c>
      <c r="G49" s="44" t="s">
        <v>843</v>
      </c>
      <c r="H49" s="44">
        <f>2/10*100</f>
        <v>20</v>
      </c>
      <c r="I49" s="44" t="s">
        <v>540</v>
      </c>
      <c r="J49" s="44">
        <v>2022</v>
      </c>
    </row>
    <row r="50" spans="1:10" ht="21.75" customHeight="1">
      <c r="A50" s="64">
        <v>16</v>
      </c>
      <c r="B50" s="63" t="s">
        <v>842</v>
      </c>
      <c r="C50" s="390" t="s">
        <v>841</v>
      </c>
      <c r="D50" s="44" t="s">
        <v>169</v>
      </c>
      <c r="E50" s="44" t="s">
        <v>185</v>
      </c>
      <c r="F50" s="44" t="s">
        <v>214</v>
      </c>
      <c r="G50" s="44" t="s">
        <v>214</v>
      </c>
      <c r="H50" s="68">
        <f>0.3/1.2</f>
        <v>0.25</v>
      </c>
      <c r="I50" s="69" t="s">
        <v>232</v>
      </c>
      <c r="J50" s="44">
        <v>2023</v>
      </c>
    </row>
    <row r="51" spans="1:10" ht="21.75" customHeight="1">
      <c r="A51" s="64">
        <v>17</v>
      </c>
      <c r="B51" s="63" t="s">
        <v>840</v>
      </c>
      <c r="C51" s="390"/>
      <c r="D51" s="44" t="s">
        <v>178</v>
      </c>
      <c r="E51" s="44" t="s">
        <v>234</v>
      </c>
      <c r="F51" s="44" t="s">
        <v>234</v>
      </c>
      <c r="G51" s="44" t="s">
        <v>271</v>
      </c>
      <c r="H51" s="13">
        <f>0.01/0.05</f>
        <v>0.19999999999999998</v>
      </c>
      <c r="I51" s="7" t="s">
        <v>182</v>
      </c>
      <c r="J51" s="44">
        <v>2023</v>
      </c>
    </row>
    <row r="52" spans="1:10" ht="21.75" customHeight="1">
      <c r="A52" s="64">
        <v>18</v>
      </c>
      <c r="B52" s="63" t="s">
        <v>839</v>
      </c>
      <c r="C52" s="390"/>
      <c r="D52" s="7" t="s">
        <v>261</v>
      </c>
      <c r="E52" s="7" t="s">
        <v>262</v>
      </c>
      <c r="F52" s="7" t="s">
        <v>263</v>
      </c>
      <c r="G52" s="7" t="s">
        <v>264</v>
      </c>
      <c r="H52" s="13">
        <f>2/5</f>
        <v>0.4</v>
      </c>
      <c r="I52" s="7" t="s">
        <v>265</v>
      </c>
      <c r="J52" s="44">
        <v>2023</v>
      </c>
    </row>
    <row r="53" spans="1:10" ht="21.75" customHeight="1">
      <c r="A53" s="64">
        <v>19</v>
      </c>
      <c r="B53" s="63" t="s">
        <v>838</v>
      </c>
      <c r="C53" s="390"/>
      <c r="D53" s="44" t="s">
        <v>837</v>
      </c>
      <c r="E53" s="44" t="s">
        <v>836</v>
      </c>
      <c r="F53" s="44" t="s">
        <v>835</v>
      </c>
      <c r="G53" s="44" t="s">
        <v>835</v>
      </c>
      <c r="H53" s="13">
        <f>1000/5000</f>
        <v>0.2</v>
      </c>
      <c r="I53" s="44" t="s">
        <v>50</v>
      </c>
      <c r="J53" s="44">
        <v>2023</v>
      </c>
    </row>
    <row r="54" spans="1:10" ht="30" customHeight="1">
      <c r="A54" s="64">
        <v>20</v>
      </c>
      <c r="B54" s="63" t="s">
        <v>834</v>
      </c>
      <c r="C54" s="390" t="s">
        <v>833</v>
      </c>
      <c r="D54" s="7" t="s">
        <v>186</v>
      </c>
      <c r="E54" s="7" t="s">
        <v>178</v>
      </c>
      <c r="F54" s="7" t="s">
        <v>213</v>
      </c>
      <c r="G54" s="7" t="s">
        <v>827</v>
      </c>
      <c r="H54" s="13">
        <f>2/5</f>
        <v>0.4</v>
      </c>
      <c r="I54" s="7" t="s">
        <v>169</v>
      </c>
      <c r="J54" s="44">
        <v>2023</v>
      </c>
    </row>
    <row r="55" spans="1:10" ht="30" customHeight="1">
      <c r="A55" s="64">
        <v>21</v>
      </c>
      <c r="B55" s="63" t="s">
        <v>832</v>
      </c>
      <c r="C55" s="390"/>
      <c r="D55" s="44" t="s">
        <v>169</v>
      </c>
      <c r="E55" s="44" t="s">
        <v>185</v>
      </c>
      <c r="F55" s="44" t="s">
        <v>214</v>
      </c>
      <c r="G55" s="44" t="s">
        <v>214</v>
      </c>
      <c r="H55" s="68">
        <f>0.3/1.2</f>
        <v>0.25</v>
      </c>
      <c r="I55" s="69" t="s">
        <v>232</v>
      </c>
      <c r="J55" s="44">
        <v>2023</v>
      </c>
    </row>
    <row r="56" spans="1:10" ht="26.25" customHeight="1">
      <c r="A56" s="64">
        <v>22</v>
      </c>
      <c r="B56" s="63" t="s">
        <v>831</v>
      </c>
      <c r="C56" s="64" t="s">
        <v>830</v>
      </c>
      <c r="D56" s="44" t="s">
        <v>167</v>
      </c>
      <c r="E56" s="44" t="s">
        <v>170</v>
      </c>
      <c r="F56" s="44" t="s">
        <v>810</v>
      </c>
      <c r="G56" s="44" t="s">
        <v>275</v>
      </c>
      <c r="H56" s="68">
        <f>2/5</f>
        <v>0.4</v>
      </c>
      <c r="I56" s="69" t="s">
        <v>168</v>
      </c>
      <c r="J56" s="44">
        <v>2022</v>
      </c>
    </row>
    <row r="57" spans="1:10" ht="30.75" customHeight="1">
      <c r="A57" s="64">
        <v>23</v>
      </c>
      <c r="B57" s="63" t="s">
        <v>829</v>
      </c>
      <c r="C57" s="64" t="s">
        <v>828</v>
      </c>
      <c r="D57" s="7" t="s">
        <v>186</v>
      </c>
      <c r="E57" s="7" t="s">
        <v>178</v>
      </c>
      <c r="F57" s="7" t="s">
        <v>213</v>
      </c>
      <c r="G57" s="7" t="s">
        <v>827</v>
      </c>
      <c r="H57" s="13">
        <f>2/5</f>
        <v>0.4</v>
      </c>
      <c r="I57" s="7" t="s">
        <v>169</v>
      </c>
      <c r="J57" s="44">
        <v>2023</v>
      </c>
    </row>
    <row r="58" spans="1:10" ht="26.25" customHeight="1">
      <c r="A58" s="64">
        <v>24</v>
      </c>
      <c r="B58" s="63" t="s">
        <v>826</v>
      </c>
      <c r="C58" s="64" t="s">
        <v>825</v>
      </c>
      <c r="D58" s="44" t="s">
        <v>278</v>
      </c>
      <c r="E58" s="44" t="s">
        <v>229</v>
      </c>
      <c r="F58" s="44" t="s">
        <v>277</v>
      </c>
      <c r="G58" s="44" t="s">
        <v>277</v>
      </c>
      <c r="H58" s="83">
        <f>2/10</f>
        <v>0.2</v>
      </c>
      <c r="I58" s="69" t="s">
        <v>274</v>
      </c>
      <c r="J58" s="44">
        <v>2023</v>
      </c>
    </row>
    <row r="59" spans="1:10" ht="26.25" customHeight="1">
      <c r="A59" s="64">
        <v>25</v>
      </c>
      <c r="B59" s="63" t="s">
        <v>247</v>
      </c>
      <c r="C59" s="390" t="s">
        <v>248</v>
      </c>
      <c r="D59" s="44" t="s">
        <v>170</v>
      </c>
      <c r="E59" s="44" t="s">
        <v>182</v>
      </c>
      <c r="F59" s="44" t="s">
        <v>185</v>
      </c>
      <c r="G59" s="44" t="s">
        <v>185</v>
      </c>
      <c r="H59" s="13">
        <f>0.2/1</f>
        <v>0.2</v>
      </c>
      <c r="I59" s="7" t="s">
        <v>275</v>
      </c>
      <c r="J59" s="397">
        <v>2023</v>
      </c>
    </row>
    <row r="60" spans="1:10" ht="26.25" customHeight="1">
      <c r="A60" s="64">
        <v>26</v>
      </c>
      <c r="B60" s="63" t="s">
        <v>249</v>
      </c>
      <c r="C60" s="390"/>
      <c r="D60" s="44" t="s">
        <v>184</v>
      </c>
      <c r="E60" s="44" t="s">
        <v>218</v>
      </c>
      <c r="F60" s="44" t="s">
        <v>218</v>
      </c>
      <c r="G60" s="44" t="s">
        <v>218</v>
      </c>
      <c r="H60" s="13">
        <f>0.2/1</f>
        <v>0.2</v>
      </c>
      <c r="I60" s="7" t="s">
        <v>170</v>
      </c>
      <c r="J60" s="397"/>
    </row>
    <row r="61" spans="1:10" ht="26.25" customHeight="1">
      <c r="A61" s="64">
        <v>27</v>
      </c>
      <c r="B61" s="63" t="s">
        <v>824</v>
      </c>
      <c r="C61" s="390" t="s">
        <v>236</v>
      </c>
      <c r="D61" s="44" t="s">
        <v>820</v>
      </c>
      <c r="E61" s="44" t="s">
        <v>819</v>
      </c>
      <c r="F61" s="44" t="s">
        <v>823</v>
      </c>
      <c r="G61" s="44" t="s">
        <v>822</v>
      </c>
      <c r="H61" s="13">
        <f>1.2/6</f>
        <v>0.19999999999999998</v>
      </c>
      <c r="I61" s="44" t="s">
        <v>817</v>
      </c>
      <c r="J61" s="44">
        <v>2024</v>
      </c>
    </row>
    <row r="62" spans="1:10" ht="26.25" customHeight="1">
      <c r="A62" s="64">
        <v>28</v>
      </c>
      <c r="B62" s="63" t="s">
        <v>821</v>
      </c>
      <c r="C62" s="390"/>
      <c r="D62" s="44" t="s">
        <v>820</v>
      </c>
      <c r="E62" s="44" t="s">
        <v>819</v>
      </c>
      <c r="F62" s="44" t="s">
        <v>818</v>
      </c>
      <c r="G62" s="44" t="s">
        <v>818</v>
      </c>
      <c r="H62" s="13">
        <f>1.5/6</f>
        <v>0.25</v>
      </c>
      <c r="I62" s="44" t="s">
        <v>817</v>
      </c>
      <c r="J62" s="44">
        <v>2024</v>
      </c>
    </row>
    <row r="63" spans="1:10" ht="31.5" customHeight="1">
      <c r="A63" s="64">
        <v>29</v>
      </c>
      <c r="B63" s="63" t="s">
        <v>816</v>
      </c>
      <c r="C63" s="64" t="s">
        <v>815</v>
      </c>
      <c r="D63" s="358" t="s">
        <v>747</v>
      </c>
      <c r="E63" s="358"/>
      <c r="F63" s="358"/>
      <c r="G63" s="358"/>
      <c r="H63" s="358"/>
      <c r="I63" s="358"/>
      <c r="J63" s="358"/>
    </row>
    <row r="64" spans="1:10" ht="24.75" customHeight="1">
      <c r="A64" s="383" t="s">
        <v>814</v>
      </c>
      <c r="B64" s="384"/>
      <c r="C64" s="65"/>
      <c r="D64" s="44"/>
      <c r="E64" s="44"/>
      <c r="F64" s="44"/>
      <c r="G64" s="44"/>
      <c r="H64" s="44"/>
      <c r="I64" s="44"/>
      <c r="J64" s="44"/>
    </row>
    <row r="65" spans="1:10" ht="24.75" customHeight="1">
      <c r="A65" s="64">
        <v>1</v>
      </c>
      <c r="B65" s="79" t="s">
        <v>813</v>
      </c>
      <c r="C65" s="389" t="s">
        <v>288</v>
      </c>
      <c r="D65" s="44" t="s">
        <v>167</v>
      </c>
      <c r="E65" s="44" t="s">
        <v>170</v>
      </c>
      <c r="F65" s="44" t="s">
        <v>810</v>
      </c>
      <c r="G65" s="44" t="s">
        <v>275</v>
      </c>
      <c r="H65" s="68">
        <f>2/5</f>
        <v>0.4</v>
      </c>
      <c r="I65" s="69" t="s">
        <v>168</v>
      </c>
      <c r="J65" s="44">
        <v>2022</v>
      </c>
    </row>
    <row r="66" spans="1:10" ht="24.75" customHeight="1">
      <c r="A66" s="64">
        <v>2</v>
      </c>
      <c r="B66" s="79" t="s">
        <v>812</v>
      </c>
      <c r="C66" s="389"/>
      <c r="D66" s="44" t="s">
        <v>241</v>
      </c>
      <c r="E66" s="44" t="s">
        <v>170</v>
      </c>
      <c r="F66" s="44" t="s">
        <v>810</v>
      </c>
      <c r="G66" s="44" t="s">
        <v>241</v>
      </c>
      <c r="H66" s="68">
        <f>3/5</f>
        <v>0.6</v>
      </c>
      <c r="I66" s="69" t="s">
        <v>809</v>
      </c>
      <c r="J66" s="44">
        <v>2022</v>
      </c>
    </row>
    <row r="67" spans="1:10" ht="24.75" customHeight="1">
      <c r="A67" s="64">
        <v>3</v>
      </c>
      <c r="B67" s="79" t="s">
        <v>811</v>
      </c>
      <c r="C67" s="389"/>
      <c r="D67" s="44" t="s">
        <v>241</v>
      </c>
      <c r="E67" s="44" t="s">
        <v>170</v>
      </c>
      <c r="F67" s="44" t="s">
        <v>810</v>
      </c>
      <c r="G67" s="44" t="s">
        <v>242</v>
      </c>
      <c r="H67" s="68">
        <f>3/5</f>
        <v>0.6</v>
      </c>
      <c r="I67" s="69" t="s">
        <v>809</v>
      </c>
      <c r="J67" s="44">
        <v>2022</v>
      </c>
    </row>
    <row r="68" spans="1:10" ht="31.5" customHeight="1">
      <c r="A68" s="64">
        <v>4</v>
      </c>
      <c r="B68" s="63" t="s">
        <v>808</v>
      </c>
      <c r="C68" s="64" t="s">
        <v>807</v>
      </c>
      <c r="D68" s="69" t="s">
        <v>806</v>
      </c>
      <c r="E68" s="69" t="s">
        <v>167</v>
      </c>
      <c r="F68" s="69" t="s">
        <v>238</v>
      </c>
      <c r="G68" s="69" t="s">
        <v>238</v>
      </c>
      <c r="H68" s="14">
        <f>2/12</f>
        <v>0.16666666666666666</v>
      </c>
      <c r="I68" s="44" t="s">
        <v>165</v>
      </c>
      <c r="J68" s="44">
        <v>2023</v>
      </c>
    </row>
    <row r="69" spans="1:10" ht="24.75" customHeight="1">
      <c r="A69" s="64">
        <v>5</v>
      </c>
      <c r="B69" s="63" t="s">
        <v>805</v>
      </c>
      <c r="C69" s="390" t="s">
        <v>804</v>
      </c>
      <c r="D69" s="69" t="s">
        <v>182</v>
      </c>
      <c r="E69" s="69" t="s">
        <v>182</v>
      </c>
      <c r="F69" s="69" t="s">
        <v>186</v>
      </c>
      <c r="G69" s="69" t="s">
        <v>186</v>
      </c>
      <c r="H69" s="14">
        <f>1/1</f>
        <v>1</v>
      </c>
      <c r="I69" s="69"/>
      <c r="J69" s="44">
        <v>2024</v>
      </c>
    </row>
    <row r="70" spans="1:10" ht="24.75" customHeight="1">
      <c r="A70" s="64">
        <v>6</v>
      </c>
      <c r="B70" s="63" t="s">
        <v>803</v>
      </c>
      <c r="C70" s="390"/>
      <c r="D70" s="44" t="s">
        <v>178</v>
      </c>
      <c r="E70" s="44" t="s">
        <v>285</v>
      </c>
      <c r="F70" s="44" t="s">
        <v>218</v>
      </c>
      <c r="G70" s="44" t="s">
        <v>218</v>
      </c>
      <c r="H70" s="68">
        <f>8/12</f>
        <v>0.66666666666666663</v>
      </c>
      <c r="I70" s="44" t="s">
        <v>254</v>
      </c>
      <c r="J70" s="44">
        <v>2023</v>
      </c>
    </row>
    <row r="71" spans="1:10" ht="27" customHeight="1">
      <c r="A71" s="64">
        <v>7</v>
      </c>
      <c r="B71" s="63" t="s">
        <v>802</v>
      </c>
      <c r="C71" s="390" t="s">
        <v>801</v>
      </c>
      <c r="D71" s="44" t="s">
        <v>190</v>
      </c>
      <c r="E71" s="44" t="s">
        <v>195</v>
      </c>
      <c r="F71" s="44" t="s">
        <v>256</v>
      </c>
      <c r="G71" s="44" t="s">
        <v>195</v>
      </c>
      <c r="H71" s="68">
        <f>5/10</f>
        <v>0.5</v>
      </c>
      <c r="I71" s="44" t="s">
        <v>192</v>
      </c>
      <c r="J71" s="44">
        <v>2022</v>
      </c>
    </row>
    <row r="72" spans="1:10" ht="21.75" customHeight="1">
      <c r="A72" s="64">
        <v>8</v>
      </c>
      <c r="B72" s="63" t="s">
        <v>800</v>
      </c>
      <c r="C72" s="390"/>
      <c r="D72" s="44" t="s">
        <v>171</v>
      </c>
      <c r="E72" s="44" t="s">
        <v>195</v>
      </c>
      <c r="F72" s="44" t="s">
        <v>799</v>
      </c>
      <c r="G72" s="44" t="s">
        <v>799</v>
      </c>
      <c r="H72" s="68">
        <f>4/10</f>
        <v>0.4</v>
      </c>
      <c r="I72" s="44" t="s">
        <v>798</v>
      </c>
      <c r="J72" s="44">
        <v>2022</v>
      </c>
    </row>
    <row r="73" spans="1:10" ht="27.75" customHeight="1">
      <c r="A73" s="64">
        <v>9</v>
      </c>
      <c r="B73" s="63" t="s">
        <v>287</v>
      </c>
      <c r="C73" s="71" t="s">
        <v>797</v>
      </c>
      <c r="D73" s="69" t="s">
        <v>289</v>
      </c>
      <c r="E73" s="69" t="s">
        <v>290</v>
      </c>
      <c r="F73" s="69" t="s">
        <v>168</v>
      </c>
      <c r="G73" s="69" t="s">
        <v>168</v>
      </c>
      <c r="H73" s="14">
        <f>4/11</f>
        <v>0.36363636363636365</v>
      </c>
      <c r="I73" s="69"/>
      <c r="J73" s="44">
        <v>2024</v>
      </c>
    </row>
    <row r="74" spans="1:10" ht="21.75" customHeight="1">
      <c r="A74" s="64">
        <v>10</v>
      </c>
      <c r="B74" s="66" t="s">
        <v>796</v>
      </c>
      <c r="C74" s="389" t="s">
        <v>795</v>
      </c>
      <c r="D74" s="69" t="s">
        <v>182</v>
      </c>
      <c r="E74" s="69" t="s">
        <v>182</v>
      </c>
      <c r="F74" s="69" t="s">
        <v>186</v>
      </c>
      <c r="G74" s="69" t="s">
        <v>186</v>
      </c>
      <c r="H74" s="14">
        <f>1/1</f>
        <v>1</v>
      </c>
      <c r="I74" s="69"/>
      <c r="J74" s="44">
        <v>2024</v>
      </c>
    </row>
    <row r="75" spans="1:10" ht="21.75" customHeight="1">
      <c r="A75" s="64">
        <v>11</v>
      </c>
      <c r="B75" s="66" t="s">
        <v>794</v>
      </c>
      <c r="C75" s="389"/>
      <c r="D75" s="69" t="s">
        <v>185</v>
      </c>
      <c r="E75" s="69" t="s">
        <v>185</v>
      </c>
      <c r="F75" s="69" t="s">
        <v>186</v>
      </c>
      <c r="G75" s="69" t="s">
        <v>186</v>
      </c>
      <c r="H75" s="14">
        <f>8/12</f>
        <v>0.66666666666666663</v>
      </c>
      <c r="I75" s="69"/>
      <c r="J75" s="44">
        <v>2024</v>
      </c>
    </row>
    <row r="76" spans="1:10" ht="27" customHeight="1">
      <c r="A76" s="64">
        <v>12</v>
      </c>
      <c r="B76" s="66" t="s">
        <v>793</v>
      </c>
      <c r="C76" s="71" t="s">
        <v>792</v>
      </c>
      <c r="D76" s="69" t="s">
        <v>791</v>
      </c>
      <c r="E76" s="69" t="s">
        <v>790</v>
      </c>
      <c r="F76" s="69" t="s">
        <v>187</v>
      </c>
      <c r="G76" s="69" t="s">
        <v>789</v>
      </c>
      <c r="H76" s="14">
        <f>1000/1000</f>
        <v>1</v>
      </c>
      <c r="I76" s="69" t="s">
        <v>788</v>
      </c>
      <c r="J76" s="44">
        <v>2024</v>
      </c>
    </row>
    <row r="77" spans="1:10" ht="30" customHeight="1">
      <c r="A77" s="64">
        <v>13</v>
      </c>
      <c r="B77" s="66" t="s">
        <v>787</v>
      </c>
      <c r="C77" s="71" t="s">
        <v>786</v>
      </c>
      <c r="D77" s="44" t="s">
        <v>258</v>
      </c>
      <c r="E77" s="44" t="s">
        <v>608</v>
      </c>
      <c r="F77" s="44" t="s">
        <v>164</v>
      </c>
      <c r="G77" s="44" t="s">
        <v>164</v>
      </c>
      <c r="H77" s="13">
        <f>20/60</f>
        <v>0.33333333333333331</v>
      </c>
      <c r="I77" s="44" t="s">
        <v>195</v>
      </c>
      <c r="J77" s="44">
        <v>2024</v>
      </c>
    </row>
    <row r="78" spans="1:10" ht="27" customHeight="1">
      <c r="A78" s="383" t="s">
        <v>785</v>
      </c>
      <c r="B78" s="384"/>
      <c r="C78" s="65"/>
      <c r="D78" s="44"/>
      <c r="E78" s="44"/>
      <c r="F78" s="44"/>
      <c r="G78" s="44"/>
      <c r="H78" s="44"/>
      <c r="I78" s="44"/>
      <c r="J78" s="44"/>
    </row>
    <row r="79" spans="1:10" ht="21" customHeight="1">
      <c r="A79" s="64">
        <v>1</v>
      </c>
      <c r="B79" s="63" t="s">
        <v>784</v>
      </c>
      <c r="C79" s="390" t="s">
        <v>783</v>
      </c>
      <c r="D79" s="7" t="s">
        <v>171</v>
      </c>
      <c r="E79" s="7" t="s">
        <v>164</v>
      </c>
      <c r="F79" s="7" t="s">
        <v>195</v>
      </c>
      <c r="G79" s="7" t="s">
        <v>195</v>
      </c>
      <c r="H79" s="13">
        <f>2/8</f>
        <v>0.25</v>
      </c>
      <c r="I79" s="44"/>
      <c r="J79" s="44">
        <v>2023</v>
      </c>
    </row>
    <row r="80" spans="1:10" ht="21" customHeight="1">
      <c r="A80" s="64">
        <v>2</v>
      </c>
      <c r="B80" s="63" t="s">
        <v>782</v>
      </c>
      <c r="C80" s="390"/>
      <c r="D80" s="7" t="s">
        <v>189</v>
      </c>
      <c r="E80" s="7" t="s">
        <v>255</v>
      </c>
      <c r="F80" s="7" t="s">
        <v>256</v>
      </c>
      <c r="G80" s="7" t="s">
        <v>195</v>
      </c>
      <c r="H80" s="13">
        <f>3/12</f>
        <v>0.25</v>
      </c>
      <c r="I80" s="7" t="s">
        <v>257</v>
      </c>
      <c r="J80" s="44">
        <v>2023</v>
      </c>
    </row>
    <row r="81" spans="1:10" ht="21" customHeight="1">
      <c r="A81" s="64">
        <v>3</v>
      </c>
      <c r="B81" s="63" t="s">
        <v>781</v>
      </c>
      <c r="C81" s="389" t="s">
        <v>780</v>
      </c>
      <c r="D81" s="7" t="s">
        <v>170</v>
      </c>
      <c r="E81" s="7" t="s">
        <v>214</v>
      </c>
      <c r="F81" s="7" t="s">
        <v>186</v>
      </c>
      <c r="G81" s="7" t="s">
        <v>214</v>
      </c>
      <c r="H81" s="13">
        <f>5/15</f>
        <v>0.33333333333333331</v>
      </c>
      <c r="I81" s="7">
        <v>0</v>
      </c>
      <c r="J81" s="44">
        <v>2022</v>
      </c>
    </row>
    <row r="82" spans="1:10" ht="21" customHeight="1">
      <c r="A82" s="64">
        <v>4</v>
      </c>
      <c r="B82" s="63" t="s">
        <v>779</v>
      </c>
      <c r="C82" s="389"/>
      <c r="D82" s="7" t="s">
        <v>175</v>
      </c>
      <c r="E82" s="7" t="s">
        <v>255</v>
      </c>
      <c r="F82" s="7" t="s">
        <v>256</v>
      </c>
      <c r="G82" s="7" t="s">
        <v>195</v>
      </c>
      <c r="H82" s="13">
        <f>3/12</f>
        <v>0.25</v>
      </c>
      <c r="I82" s="7" t="s">
        <v>257</v>
      </c>
      <c r="J82" s="44">
        <v>2022</v>
      </c>
    </row>
    <row r="83" spans="1:10" ht="21" customHeight="1">
      <c r="A83" s="64">
        <v>5</v>
      </c>
      <c r="B83" s="63" t="s">
        <v>778</v>
      </c>
      <c r="C83" s="389"/>
      <c r="D83" s="7" t="s">
        <v>192</v>
      </c>
      <c r="E83" s="7" t="s">
        <v>195</v>
      </c>
      <c r="F83" s="7" t="s">
        <v>255</v>
      </c>
      <c r="G83" s="7" t="s">
        <v>777</v>
      </c>
      <c r="H83" s="13">
        <f>2/10</f>
        <v>0.2</v>
      </c>
      <c r="I83" s="44"/>
      <c r="J83" s="44">
        <v>2022</v>
      </c>
    </row>
    <row r="84" spans="1:10" ht="21" customHeight="1">
      <c r="A84" s="64">
        <v>6</v>
      </c>
      <c r="B84" s="63" t="s">
        <v>776</v>
      </c>
      <c r="C84" s="389"/>
      <c r="D84" s="7" t="s">
        <v>192</v>
      </c>
      <c r="E84" s="7" t="s">
        <v>164</v>
      </c>
      <c r="F84" s="7" t="s">
        <v>195</v>
      </c>
      <c r="G84" s="7" t="s">
        <v>195</v>
      </c>
      <c r="H84" s="13">
        <f>2/8</f>
        <v>0.25</v>
      </c>
      <c r="I84" s="44"/>
      <c r="J84" s="44">
        <v>2023</v>
      </c>
    </row>
    <row r="85" spans="1:10" ht="21" customHeight="1">
      <c r="A85" s="64">
        <v>7</v>
      </c>
      <c r="B85" s="63" t="s">
        <v>775</v>
      </c>
      <c r="C85" s="389"/>
      <c r="D85" s="7" t="s">
        <v>182</v>
      </c>
      <c r="E85" s="7" t="s">
        <v>182</v>
      </c>
      <c r="F85" s="7" t="s">
        <v>182</v>
      </c>
      <c r="G85" s="7" t="s">
        <v>185</v>
      </c>
      <c r="H85" s="13">
        <f>0.2/1</f>
        <v>0.2</v>
      </c>
      <c r="I85" s="44"/>
      <c r="J85" s="44">
        <v>2022</v>
      </c>
    </row>
    <row r="86" spans="1:10" ht="21" customHeight="1">
      <c r="A86" s="64">
        <v>8</v>
      </c>
      <c r="B86" s="63" t="s">
        <v>774</v>
      </c>
      <c r="C86" s="389"/>
      <c r="D86" s="7" t="s">
        <v>182</v>
      </c>
      <c r="E86" s="7" t="s">
        <v>182</v>
      </c>
      <c r="F86" s="7" t="s">
        <v>182</v>
      </c>
      <c r="G86" s="7" t="s">
        <v>185</v>
      </c>
      <c r="H86" s="13">
        <f>0.2/1</f>
        <v>0.2</v>
      </c>
      <c r="I86" s="44"/>
      <c r="J86" s="44">
        <v>2022</v>
      </c>
    </row>
    <row r="87" spans="1:10" ht="21" customHeight="1">
      <c r="A87" s="64">
        <v>9</v>
      </c>
      <c r="B87" s="63" t="s">
        <v>252</v>
      </c>
      <c r="C87" s="389"/>
      <c r="D87" s="7" t="s">
        <v>214</v>
      </c>
      <c r="E87" s="7" t="s">
        <v>185</v>
      </c>
      <c r="F87" s="7" t="s">
        <v>214</v>
      </c>
      <c r="G87" s="7" t="s">
        <v>214</v>
      </c>
      <c r="H87" s="13">
        <f>0.3/1.2</f>
        <v>0.25</v>
      </c>
      <c r="I87" s="44"/>
      <c r="J87" s="44">
        <v>2023</v>
      </c>
    </row>
    <row r="88" spans="1:10" ht="22.5" customHeight="1">
      <c r="A88" s="64">
        <v>10</v>
      </c>
      <c r="B88" s="66" t="s">
        <v>773</v>
      </c>
      <c r="C88" s="389"/>
      <c r="D88" s="44" t="s">
        <v>770</v>
      </c>
      <c r="E88" s="44" t="s">
        <v>769</v>
      </c>
      <c r="F88" s="44" t="s">
        <v>768</v>
      </c>
      <c r="G88" s="44" t="s">
        <v>767</v>
      </c>
      <c r="H88" s="13">
        <f>600/1000</f>
        <v>0.6</v>
      </c>
      <c r="I88" s="44"/>
      <c r="J88" s="44">
        <v>2022</v>
      </c>
    </row>
    <row r="89" spans="1:10" ht="22.5" customHeight="1">
      <c r="A89" s="64">
        <v>11</v>
      </c>
      <c r="B89" s="66" t="s">
        <v>772</v>
      </c>
      <c r="C89" s="389"/>
      <c r="D89" s="44" t="s">
        <v>770</v>
      </c>
      <c r="E89" s="44" t="s">
        <v>769</v>
      </c>
      <c r="F89" s="44" t="s">
        <v>768</v>
      </c>
      <c r="G89" s="44" t="s">
        <v>767</v>
      </c>
      <c r="H89" s="13">
        <f>600/1000</f>
        <v>0.6</v>
      </c>
      <c r="I89" s="44"/>
      <c r="J89" s="44">
        <v>2022</v>
      </c>
    </row>
    <row r="90" spans="1:10" ht="22.5" customHeight="1">
      <c r="A90" s="64">
        <v>12</v>
      </c>
      <c r="B90" s="63" t="s">
        <v>771</v>
      </c>
      <c r="C90" s="389"/>
      <c r="D90" s="44" t="s">
        <v>770</v>
      </c>
      <c r="E90" s="44" t="s">
        <v>769</v>
      </c>
      <c r="F90" s="44" t="s">
        <v>768</v>
      </c>
      <c r="G90" s="44" t="s">
        <v>767</v>
      </c>
      <c r="H90" s="13">
        <f>600/1000</f>
        <v>0.6</v>
      </c>
      <c r="I90" s="44"/>
      <c r="J90" s="44">
        <v>2022</v>
      </c>
    </row>
    <row r="91" spans="1:10" ht="22.5" customHeight="1">
      <c r="A91" s="64">
        <v>13</v>
      </c>
      <c r="B91" s="63" t="s">
        <v>766</v>
      </c>
      <c r="C91" s="389"/>
      <c r="D91" s="44" t="s">
        <v>182</v>
      </c>
      <c r="E91" s="44" t="s">
        <v>282</v>
      </c>
      <c r="F91" s="44" t="s">
        <v>765</v>
      </c>
      <c r="G91" s="44" t="s">
        <v>765</v>
      </c>
      <c r="H91" s="13">
        <f>3/5</f>
        <v>0.6</v>
      </c>
      <c r="I91" s="44"/>
      <c r="J91" s="44">
        <v>2024</v>
      </c>
    </row>
    <row r="92" spans="1:10" ht="23.25" customHeight="1">
      <c r="A92" s="383" t="s">
        <v>764</v>
      </c>
      <c r="B92" s="384"/>
      <c r="C92" s="65"/>
      <c r="D92" s="44"/>
      <c r="E92" s="44"/>
      <c r="F92" s="44"/>
      <c r="G92" s="44"/>
      <c r="H92" s="44"/>
      <c r="I92" s="44"/>
      <c r="J92" s="44"/>
    </row>
    <row r="93" spans="1:10" ht="23.25" customHeight="1">
      <c r="A93" s="64">
        <v>1</v>
      </c>
      <c r="B93" s="63" t="s">
        <v>763</v>
      </c>
      <c r="C93" s="390" t="s">
        <v>762</v>
      </c>
      <c r="D93" s="44" t="s">
        <v>759</v>
      </c>
      <c r="E93" s="44" t="s">
        <v>758</v>
      </c>
      <c r="F93" s="44" t="s">
        <v>757</v>
      </c>
      <c r="G93" s="44" t="s">
        <v>757</v>
      </c>
      <c r="H93" s="13">
        <f>200/300</f>
        <v>0.66666666666666663</v>
      </c>
      <c r="I93" s="44" t="s">
        <v>761</v>
      </c>
      <c r="J93" s="44">
        <v>2023</v>
      </c>
    </row>
    <row r="94" spans="1:10" ht="23.25" customHeight="1">
      <c r="A94" s="64">
        <v>2</v>
      </c>
      <c r="B94" s="63" t="s">
        <v>760</v>
      </c>
      <c r="C94" s="390"/>
      <c r="D94" s="44" t="s">
        <v>759</v>
      </c>
      <c r="E94" s="44" t="s">
        <v>758</v>
      </c>
      <c r="F94" s="44" t="s">
        <v>757</v>
      </c>
      <c r="G94" s="44" t="s">
        <v>757</v>
      </c>
      <c r="H94" s="13">
        <f>200/300</f>
        <v>0.66666666666666663</v>
      </c>
      <c r="I94" s="44" t="s">
        <v>756</v>
      </c>
      <c r="J94" s="44">
        <v>2023</v>
      </c>
    </row>
    <row r="95" spans="1:10" ht="23.25" customHeight="1">
      <c r="A95" s="64">
        <v>3</v>
      </c>
      <c r="B95" s="63" t="s">
        <v>755</v>
      </c>
      <c r="C95" s="71" t="s">
        <v>754</v>
      </c>
      <c r="D95" s="44" t="s">
        <v>195</v>
      </c>
      <c r="E95" s="44" t="s">
        <v>163</v>
      </c>
      <c r="F95" s="44" t="s">
        <v>753</v>
      </c>
      <c r="G95" s="44" t="s">
        <v>753</v>
      </c>
      <c r="H95" s="13">
        <f>15/65</f>
        <v>0.23076923076923078</v>
      </c>
      <c r="I95" s="44" t="s">
        <v>256</v>
      </c>
      <c r="J95" s="44">
        <v>2024</v>
      </c>
    </row>
    <row r="96" spans="1:10" ht="30" customHeight="1">
      <c r="A96" s="64">
        <v>4</v>
      </c>
      <c r="B96" s="63" t="s">
        <v>752</v>
      </c>
      <c r="C96" s="71" t="s">
        <v>751</v>
      </c>
      <c r="D96" s="358" t="s">
        <v>747</v>
      </c>
      <c r="E96" s="358"/>
      <c r="F96" s="358"/>
      <c r="G96" s="358"/>
      <c r="H96" s="358"/>
      <c r="I96" s="358"/>
      <c r="J96" s="358"/>
    </row>
    <row r="97" spans="1:12" ht="23.25" customHeight="1">
      <c r="A97" s="383" t="s">
        <v>750</v>
      </c>
      <c r="B97" s="384"/>
      <c r="C97" s="65"/>
      <c r="D97" s="44"/>
      <c r="E97" s="44"/>
      <c r="F97" s="44"/>
      <c r="G97" s="44"/>
      <c r="H97" s="44"/>
      <c r="I97" s="44"/>
      <c r="J97" s="44"/>
    </row>
    <row r="98" spans="1:12" ht="30.75" customHeight="1">
      <c r="A98" s="64">
        <v>1</v>
      </c>
      <c r="B98" s="63" t="s">
        <v>749</v>
      </c>
      <c r="C98" s="71" t="s">
        <v>748</v>
      </c>
      <c r="D98" s="358" t="s">
        <v>747</v>
      </c>
      <c r="E98" s="358"/>
      <c r="F98" s="358"/>
      <c r="G98" s="358"/>
      <c r="H98" s="358"/>
      <c r="I98" s="358"/>
      <c r="J98" s="358"/>
    </row>
    <row r="99" spans="1:12" ht="21.75" customHeight="1">
      <c r="A99" s="381" t="s">
        <v>746</v>
      </c>
      <c r="B99" s="382"/>
      <c r="C99" s="72"/>
      <c r="D99" s="44"/>
      <c r="E99" s="44"/>
      <c r="F99" s="44"/>
      <c r="G99" s="44"/>
      <c r="H99" s="44"/>
      <c r="I99" s="44"/>
      <c r="J99" s="44"/>
    </row>
    <row r="100" spans="1:12" ht="21.75" customHeight="1">
      <c r="A100" s="64">
        <v>1</v>
      </c>
      <c r="B100" s="66" t="s">
        <v>161</v>
      </c>
      <c r="C100" s="389" t="s">
        <v>743</v>
      </c>
      <c r="D100" s="69" t="s">
        <v>162</v>
      </c>
      <c r="E100" s="44" t="s">
        <v>163</v>
      </c>
      <c r="F100" s="44" t="s">
        <v>164</v>
      </c>
      <c r="G100" s="44" t="s">
        <v>164</v>
      </c>
      <c r="H100" s="14">
        <f>15/65</f>
        <v>0.23076923076923078</v>
      </c>
      <c r="I100" s="83" t="s">
        <v>286</v>
      </c>
      <c r="J100" s="44">
        <v>2024</v>
      </c>
    </row>
    <row r="101" spans="1:12" ht="21.75" customHeight="1">
      <c r="A101" s="64">
        <v>2</v>
      </c>
      <c r="B101" s="66" t="s">
        <v>166</v>
      </c>
      <c r="C101" s="389"/>
      <c r="D101" s="69" t="s">
        <v>162</v>
      </c>
      <c r="E101" s="44" t="s">
        <v>167</v>
      </c>
      <c r="F101" s="44" t="s">
        <v>168</v>
      </c>
      <c r="G101" s="44" t="s">
        <v>168</v>
      </c>
      <c r="H101" s="13">
        <f>5/10</f>
        <v>0.5</v>
      </c>
      <c r="I101" s="69" t="s">
        <v>286</v>
      </c>
      <c r="J101" s="44">
        <v>2024</v>
      </c>
    </row>
    <row r="102" spans="1:12" ht="21.75" customHeight="1">
      <c r="A102" s="64">
        <v>3</v>
      </c>
      <c r="B102" s="66" t="s">
        <v>176</v>
      </c>
      <c r="C102" s="389" t="s">
        <v>745</v>
      </c>
      <c r="D102" s="69" t="s">
        <v>162</v>
      </c>
      <c r="E102" s="44" t="s">
        <v>177</v>
      </c>
      <c r="F102" s="44" t="s">
        <v>178</v>
      </c>
      <c r="G102" s="44" t="s">
        <v>178</v>
      </c>
      <c r="H102" s="13">
        <f>0.1/0.4</f>
        <v>0.25</v>
      </c>
      <c r="I102" s="69" t="s">
        <v>180</v>
      </c>
      <c r="J102" s="44">
        <v>2024</v>
      </c>
    </row>
    <row r="103" spans="1:12" ht="21.75" customHeight="1">
      <c r="A103" s="64">
        <v>4</v>
      </c>
      <c r="B103" s="66" t="s">
        <v>1342</v>
      </c>
      <c r="C103" s="389"/>
      <c r="D103" s="69" t="s">
        <v>162</v>
      </c>
      <c r="E103" s="44" t="s">
        <v>177</v>
      </c>
      <c r="F103" s="44" t="s">
        <v>178</v>
      </c>
      <c r="G103" s="44" t="s">
        <v>179</v>
      </c>
      <c r="H103" s="13">
        <f>0.1/0.4</f>
        <v>0.25</v>
      </c>
      <c r="I103" s="69" t="s">
        <v>180</v>
      </c>
      <c r="J103" s="44">
        <v>2024</v>
      </c>
    </row>
    <row r="104" spans="1:12" ht="21.75" customHeight="1">
      <c r="A104" s="64">
        <v>5</v>
      </c>
      <c r="B104" s="63" t="s">
        <v>744</v>
      </c>
      <c r="C104" s="389" t="s">
        <v>743</v>
      </c>
      <c r="D104" s="44" t="s">
        <v>186</v>
      </c>
      <c r="E104" s="44" t="s">
        <v>182</v>
      </c>
      <c r="F104" s="44" t="s">
        <v>186</v>
      </c>
      <c r="G104" s="44" t="s">
        <v>186</v>
      </c>
      <c r="H104" s="13">
        <v>0.5</v>
      </c>
      <c r="I104" s="44" t="s">
        <v>170</v>
      </c>
      <c r="J104" s="44">
        <v>2022</v>
      </c>
    </row>
    <row r="105" spans="1:12" ht="21.75" customHeight="1">
      <c r="A105" s="64">
        <v>6</v>
      </c>
      <c r="B105" s="63" t="s">
        <v>742</v>
      </c>
      <c r="C105" s="389"/>
      <c r="D105" s="44" t="s">
        <v>170</v>
      </c>
      <c r="E105" s="44" t="s">
        <v>169</v>
      </c>
      <c r="F105" s="44" t="s">
        <v>170</v>
      </c>
      <c r="G105" s="44" t="s">
        <v>170</v>
      </c>
      <c r="H105" s="44">
        <f>1/4*100</f>
        <v>25</v>
      </c>
      <c r="I105" s="44" t="s">
        <v>241</v>
      </c>
      <c r="J105" s="44">
        <v>2022</v>
      </c>
    </row>
    <row r="106" spans="1:12" ht="21.75" customHeight="1">
      <c r="A106" s="64">
        <v>7</v>
      </c>
      <c r="B106" s="66" t="s">
        <v>741</v>
      </c>
      <c r="C106" s="71" t="s">
        <v>739</v>
      </c>
      <c r="D106" s="44" t="s">
        <v>167</v>
      </c>
      <c r="E106" s="44" t="s">
        <v>232</v>
      </c>
      <c r="F106" s="44" t="s">
        <v>241</v>
      </c>
      <c r="G106" s="44" t="s">
        <v>242</v>
      </c>
      <c r="H106" s="13">
        <f>3/6</f>
        <v>0.5</v>
      </c>
      <c r="I106" s="44" t="s">
        <v>168</v>
      </c>
      <c r="J106" s="44">
        <v>2023</v>
      </c>
    </row>
    <row r="107" spans="1:12" ht="21.75" customHeight="1">
      <c r="A107" s="64">
        <v>8</v>
      </c>
      <c r="B107" s="66" t="s">
        <v>740</v>
      </c>
      <c r="C107" s="71" t="s">
        <v>739</v>
      </c>
      <c r="D107" s="44" t="s">
        <v>241</v>
      </c>
      <c r="E107" s="44" t="s">
        <v>169</v>
      </c>
      <c r="F107" s="44" t="s">
        <v>232</v>
      </c>
      <c r="G107" s="44" t="s">
        <v>232</v>
      </c>
      <c r="H107" s="13">
        <f>2/4</f>
        <v>0.5</v>
      </c>
      <c r="I107" s="44" t="s">
        <v>167</v>
      </c>
      <c r="J107" s="44">
        <v>2023</v>
      </c>
    </row>
    <row r="108" spans="1:12" ht="21.75" customHeight="1">
      <c r="A108" s="64">
        <v>9</v>
      </c>
      <c r="B108" s="66" t="s">
        <v>738</v>
      </c>
      <c r="C108" s="390" t="s">
        <v>737</v>
      </c>
      <c r="D108" s="44" t="s">
        <v>186</v>
      </c>
      <c r="E108" s="44" t="s">
        <v>182</v>
      </c>
      <c r="F108" s="44" t="s">
        <v>214</v>
      </c>
      <c r="G108" s="44" t="s">
        <v>214</v>
      </c>
      <c r="H108" s="13">
        <f>0.5/1</f>
        <v>0.5</v>
      </c>
      <c r="I108" s="44" t="s">
        <v>184</v>
      </c>
      <c r="J108" s="44">
        <v>2024</v>
      </c>
    </row>
    <row r="109" spans="1:12" ht="21.75" customHeight="1">
      <c r="A109" s="64">
        <v>10</v>
      </c>
      <c r="B109" s="66" t="s">
        <v>736</v>
      </c>
      <c r="C109" s="390"/>
      <c r="D109" s="44" t="s">
        <v>186</v>
      </c>
      <c r="E109" s="44" t="s">
        <v>182</v>
      </c>
      <c r="F109" s="44" t="s">
        <v>214</v>
      </c>
      <c r="G109" s="44" t="s">
        <v>214</v>
      </c>
      <c r="H109" s="13">
        <f>0.5/1</f>
        <v>0.5</v>
      </c>
      <c r="I109" s="44" t="s">
        <v>169</v>
      </c>
      <c r="J109" s="44">
        <v>2024</v>
      </c>
    </row>
    <row r="110" spans="1:12" ht="21.75" customHeight="1">
      <c r="A110" s="64">
        <v>11</v>
      </c>
      <c r="B110" s="66" t="s">
        <v>735</v>
      </c>
      <c r="C110" s="390" t="s">
        <v>734</v>
      </c>
      <c r="D110" s="44" t="s">
        <v>186</v>
      </c>
      <c r="E110" s="44" t="s">
        <v>182</v>
      </c>
      <c r="F110" s="44" t="s">
        <v>214</v>
      </c>
      <c r="G110" s="44" t="s">
        <v>214</v>
      </c>
      <c r="H110" s="13">
        <f>0.5/1</f>
        <v>0.5</v>
      </c>
      <c r="I110" s="44" t="s">
        <v>170</v>
      </c>
      <c r="J110" s="44">
        <v>2025</v>
      </c>
      <c r="L110" s="61">
        <v>87</v>
      </c>
    </row>
    <row r="111" spans="1:12" ht="29.25" customHeight="1">
      <c r="A111" s="64">
        <v>12</v>
      </c>
      <c r="B111" s="82" t="s">
        <v>733</v>
      </c>
      <c r="C111" s="390"/>
      <c r="D111" s="44" t="s">
        <v>186</v>
      </c>
      <c r="E111" s="44" t="s">
        <v>182</v>
      </c>
      <c r="F111" s="44" t="s">
        <v>214</v>
      </c>
      <c r="G111" s="44" t="s">
        <v>214</v>
      </c>
      <c r="H111" s="13">
        <f>0.5/1</f>
        <v>0.5</v>
      </c>
      <c r="I111" s="44" t="s">
        <v>232</v>
      </c>
      <c r="J111" s="44">
        <v>2025</v>
      </c>
      <c r="L111" s="61">
        <v>12</v>
      </c>
    </row>
    <row r="112" spans="1:12" ht="20.25" customHeight="1">
      <c r="A112" s="381" t="s">
        <v>732</v>
      </c>
      <c r="B112" s="382"/>
      <c r="C112" s="72"/>
      <c r="D112" s="44"/>
      <c r="E112" s="44"/>
      <c r="F112" s="44"/>
      <c r="G112" s="44"/>
      <c r="H112" s="44"/>
      <c r="I112" s="44"/>
      <c r="J112" s="44"/>
      <c r="L112" s="61">
        <v>7</v>
      </c>
    </row>
    <row r="113" spans="1:12" ht="20.25" customHeight="1">
      <c r="A113" s="64">
        <v>1</v>
      </c>
      <c r="B113" s="66" t="s">
        <v>731</v>
      </c>
      <c r="C113" s="64" t="s">
        <v>730</v>
      </c>
      <c r="D113" s="44" t="s">
        <v>729</v>
      </c>
      <c r="E113" s="44" t="s">
        <v>167</v>
      </c>
      <c r="F113" s="44" t="s">
        <v>168</v>
      </c>
      <c r="G113" s="44" t="s">
        <v>168</v>
      </c>
      <c r="H113" s="13">
        <f>5/10</f>
        <v>0.5</v>
      </c>
      <c r="I113" s="44" t="s">
        <v>165</v>
      </c>
      <c r="J113" s="44">
        <v>2022</v>
      </c>
      <c r="L113" s="61">
        <v>40</v>
      </c>
    </row>
    <row r="114" spans="1:12" ht="20.25" customHeight="1">
      <c r="A114" s="64">
        <v>2</v>
      </c>
      <c r="B114" s="66" t="s">
        <v>728</v>
      </c>
      <c r="C114" s="64" t="s">
        <v>727</v>
      </c>
      <c r="D114" s="44" t="s">
        <v>726</v>
      </c>
      <c r="E114" s="44" t="s">
        <v>725</v>
      </c>
      <c r="F114" s="44" t="s">
        <v>724</v>
      </c>
      <c r="G114" s="44" t="s">
        <v>724</v>
      </c>
      <c r="H114" s="13">
        <f>5000/5000</f>
        <v>1</v>
      </c>
      <c r="I114" s="44" t="s">
        <v>723</v>
      </c>
      <c r="J114" s="44">
        <v>2024</v>
      </c>
    </row>
    <row r="115" spans="1:12" ht="20.25" customHeight="1">
      <c r="A115" s="381" t="s">
        <v>722</v>
      </c>
      <c r="B115" s="382"/>
      <c r="C115" s="72"/>
      <c r="D115" s="44"/>
      <c r="E115" s="44"/>
      <c r="F115" s="44"/>
      <c r="G115" s="44"/>
      <c r="H115" s="44"/>
      <c r="I115" s="44"/>
      <c r="J115" s="44"/>
    </row>
    <row r="116" spans="1:12" ht="20.25" customHeight="1">
      <c r="A116" s="64">
        <v>1</v>
      </c>
      <c r="B116" s="66" t="s">
        <v>721</v>
      </c>
      <c r="C116" s="64" t="s">
        <v>720</v>
      </c>
      <c r="D116" s="44" t="s">
        <v>278</v>
      </c>
      <c r="E116" s="44" t="s">
        <v>245</v>
      </c>
      <c r="F116" s="44" t="s">
        <v>229</v>
      </c>
      <c r="G116" s="44" t="s">
        <v>229</v>
      </c>
      <c r="H116" s="13">
        <f>2000/8000</f>
        <v>0.25</v>
      </c>
      <c r="I116" s="44" t="s">
        <v>276</v>
      </c>
      <c r="J116" s="44">
        <v>2024</v>
      </c>
    </row>
    <row r="117" spans="1:12" ht="20.25" customHeight="1">
      <c r="A117" s="64">
        <v>2</v>
      </c>
      <c r="B117" s="66" t="s">
        <v>719</v>
      </c>
      <c r="C117" s="64" t="s">
        <v>718</v>
      </c>
      <c r="D117" s="44" t="s">
        <v>182</v>
      </c>
      <c r="E117" s="44" t="s">
        <v>717</v>
      </c>
      <c r="F117" s="44" t="s">
        <v>182</v>
      </c>
      <c r="G117" s="44" t="s">
        <v>182</v>
      </c>
      <c r="H117" s="13">
        <f>0.3/0.7</f>
        <v>0.4285714285714286</v>
      </c>
      <c r="I117" s="44" t="s">
        <v>184</v>
      </c>
      <c r="J117" s="44">
        <v>2024</v>
      </c>
    </row>
    <row r="118" spans="1:12" ht="20.25" customHeight="1">
      <c r="A118" s="381" t="s">
        <v>716</v>
      </c>
      <c r="B118" s="382"/>
      <c r="C118" s="72"/>
      <c r="D118" s="44"/>
      <c r="E118" s="44"/>
      <c r="F118" s="44"/>
      <c r="G118" s="44"/>
      <c r="H118" s="44"/>
      <c r="I118" s="44"/>
      <c r="J118" s="44"/>
    </row>
    <row r="119" spans="1:12" ht="20.25" customHeight="1">
      <c r="A119" s="64">
        <v>1</v>
      </c>
      <c r="B119" s="66" t="s">
        <v>715</v>
      </c>
      <c r="C119" s="64" t="s">
        <v>714</v>
      </c>
      <c r="D119" s="44" t="s">
        <v>167</v>
      </c>
      <c r="E119" s="44" t="s">
        <v>170</v>
      </c>
      <c r="F119" s="44" t="s">
        <v>232</v>
      </c>
      <c r="G119" s="44" t="s">
        <v>232</v>
      </c>
      <c r="H119" s="13">
        <f>1/5</f>
        <v>0.2</v>
      </c>
      <c r="I119" s="44" t="s">
        <v>168</v>
      </c>
      <c r="J119" s="44">
        <v>2024</v>
      </c>
    </row>
    <row r="120" spans="1:12" ht="20.25" customHeight="1">
      <c r="A120" s="64">
        <v>2</v>
      </c>
      <c r="B120" s="66" t="s">
        <v>713</v>
      </c>
      <c r="C120" s="390" t="s">
        <v>712</v>
      </c>
      <c r="D120" s="44" t="s">
        <v>710</v>
      </c>
      <c r="E120" s="44" t="s">
        <v>709</v>
      </c>
      <c r="F120" s="44" t="s">
        <v>708</v>
      </c>
      <c r="G120" s="44" t="s">
        <v>708</v>
      </c>
      <c r="H120" s="13">
        <f>100/200</f>
        <v>0.5</v>
      </c>
      <c r="I120" s="44" t="s">
        <v>707</v>
      </c>
      <c r="J120" s="44">
        <v>2025</v>
      </c>
    </row>
    <row r="121" spans="1:12" ht="20.25" customHeight="1">
      <c r="A121" s="64">
        <v>3</v>
      </c>
      <c r="B121" s="66" t="s">
        <v>711</v>
      </c>
      <c r="C121" s="390"/>
      <c r="D121" s="44" t="s">
        <v>710</v>
      </c>
      <c r="E121" s="44" t="s">
        <v>709</v>
      </c>
      <c r="F121" s="44" t="s">
        <v>708</v>
      </c>
      <c r="G121" s="44" t="s">
        <v>708</v>
      </c>
      <c r="H121" s="13">
        <f>100/200</f>
        <v>0.5</v>
      </c>
      <c r="I121" s="44" t="s">
        <v>707</v>
      </c>
      <c r="J121" s="44">
        <v>2025</v>
      </c>
    </row>
    <row r="122" spans="1:12" ht="19.5" customHeight="1">
      <c r="A122" s="381" t="s">
        <v>706</v>
      </c>
      <c r="B122" s="382"/>
      <c r="C122" s="72"/>
      <c r="D122" s="44"/>
      <c r="E122" s="44"/>
      <c r="F122" s="44"/>
      <c r="G122" s="44"/>
      <c r="H122" s="44"/>
      <c r="I122" s="44"/>
      <c r="J122" s="44"/>
    </row>
    <row r="123" spans="1:12" ht="21" customHeight="1">
      <c r="A123" s="64">
        <v>1</v>
      </c>
      <c r="B123" s="63" t="s">
        <v>198</v>
      </c>
      <c r="C123" s="64" t="s">
        <v>705</v>
      </c>
      <c r="D123" s="70" t="s">
        <v>195</v>
      </c>
      <c r="E123" s="70" t="s">
        <v>167</v>
      </c>
      <c r="F123" s="70" t="s">
        <v>173</v>
      </c>
      <c r="G123" s="70" t="s">
        <v>173</v>
      </c>
      <c r="H123" s="13">
        <f>40/10</f>
        <v>4</v>
      </c>
      <c r="I123" s="70"/>
      <c r="J123" s="44">
        <v>2023</v>
      </c>
    </row>
    <row r="124" spans="1:12" ht="21" customHeight="1">
      <c r="A124" s="64">
        <v>2</v>
      </c>
      <c r="B124" s="63" t="s">
        <v>704</v>
      </c>
      <c r="C124" s="390" t="s">
        <v>670</v>
      </c>
      <c r="D124" s="70" t="s">
        <v>169</v>
      </c>
      <c r="E124" s="70" t="s">
        <v>178</v>
      </c>
      <c r="F124" s="70" t="s">
        <v>182</v>
      </c>
      <c r="G124" s="70" t="s">
        <v>199</v>
      </c>
      <c r="H124" s="13">
        <f>5/5</f>
        <v>1</v>
      </c>
      <c r="I124" s="70"/>
      <c r="J124" s="44">
        <v>2024</v>
      </c>
    </row>
    <row r="125" spans="1:12" ht="21" customHeight="1">
      <c r="A125" s="64">
        <v>3</v>
      </c>
      <c r="B125" s="63" t="s">
        <v>200</v>
      </c>
      <c r="C125" s="390"/>
      <c r="D125" s="70" t="s">
        <v>201</v>
      </c>
      <c r="E125" s="70" t="s">
        <v>178</v>
      </c>
      <c r="F125" s="70" t="s">
        <v>182</v>
      </c>
      <c r="G125" s="70" t="s">
        <v>186</v>
      </c>
      <c r="H125" s="13">
        <f>5/5</f>
        <v>1</v>
      </c>
      <c r="I125" s="70" t="s">
        <v>167</v>
      </c>
      <c r="J125" s="44">
        <v>2023</v>
      </c>
    </row>
    <row r="126" spans="1:12" ht="21" customHeight="1">
      <c r="A126" s="64">
        <v>4</v>
      </c>
      <c r="B126" s="63" t="s">
        <v>202</v>
      </c>
      <c r="C126" s="390"/>
      <c r="D126" s="70" t="s">
        <v>203</v>
      </c>
      <c r="E126" s="70" t="s">
        <v>181</v>
      </c>
      <c r="F126" s="70" t="s">
        <v>185</v>
      </c>
      <c r="G126" s="70" t="s">
        <v>183</v>
      </c>
      <c r="H126" s="13">
        <f>4/8</f>
        <v>0.5</v>
      </c>
      <c r="I126" s="70" t="s">
        <v>168</v>
      </c>
      <c r="J126" s="44">
        <v>2023</v>
      </c>
    </row>
    <row r="127" spans="1:12" ht="21" customHeight="1">
      <c r="A127" s="64">
        <v>5</v>
      </c>
      <c r="B127" s="63" t="s">
        <v>703</v>
      </c>
      <c r="C127" s="390" t="s">
        <v>678</v>
      </c>
      <c r="D127" s="70" t="s">
        <v>184</v>
      </c>
      <c r="E127" s="70" t="s">
        <v>211</v>
      </c>
      <c r="F127" s="70" t="s">
        <v>212</v>
      </c>
      <c r="G127" s="70" t="s">
        <v>178</v>
      </c>
      <c r="H127" s="14">
        <f>5/11</f>
        <v>0.45454545454545453</v>
      </c>
      <c r="I127" s="70" t="s">
        <v>184</v>
      </c>
      <c r="J127" s="44">
        <v>2024</v>
      </c>
    </row>
    <row r="128" spans="1:12" ht="21" customHeight="1">
      <c r="A128" s="64">
        <v>6</v>
      </c>
      <c r="B128" s="63" t="s">
        <v>702</v>
      </c>
      <c r="C128" s="390"/>
      <c r="D128" s="70" t="s">
        <v>184</v>
      </c>
      <c r="E128" s="70" t="s">
        <v>213</v>
      </c>
      <c r="F128" s="70" t="s">
        <v>182</v>
      </c>
      <c r="G128" s="70" t="s">
        <v>177</v>
      </c>
      <c r="H128" s="14">
        <f>3/7</f>
        <v>0.42857142857142855</v>
      </c>
      <c r="I128" s="70" t="s">
        <v>184</v>
      </c>
      <c r="J128" s="44">
        <v>2024</v>
      </c>
    </row>
    <row r="129" spans="1:10" ht="21" customHeight="1">
      <c r="A129" s="64">
        <v>7</v>
      </c>
      <c r="B129" s="63" t="s">
        <v>701</v>
      </c>
      <c r="C129" s="395" t="s">
        <v>664</v>
      </c>
      <c r="D129" s="70" t="s">
        <v>184</v>
      </c>
      <c r="E129" s="70" t="s">
        <v>211</v>
      </c>
      <c r="F129" s="70" t="s">
        <v>212</v>
      </c>
      <c r="G129" s="70" t="s">
        <v>178</v>
      </c>
      <c r="H129" s="14">
        <f>5/11</f>
        <v>0.45454545454545453</v>
      </c>
      <c r="I129" s="70" t="s">
        <v>184</v>
      </c>
      <c r="J129" s="44">
        <v>2022</v>
      </c>
    </row>
    <row r="130" spans="1:10" ht="21" customHeight="1">
      <c r="A130" s="64">
        <v>8</v>
      </c>
      <c r="B130" s="63" t="s">
        <v>700</v>
      </c>
      <c r="C130" s="395"/>
      <c r="D130" s="70" t="s">
        <v>184</v>
      </c>
      <c r="E130" s="70" t="s">
        <v>213</v>
      </c>
      <c r="F130" s="70" t="s">
        <v>182</v>
      </c>
      <c r="G130" s="70" t="s">
        <v>177</v>
      </c>
      <c r="H130" s="14">
        <f>3/7</f>
        <v>0.42857142857142855</v>
      </c>
      <c r="I130" s="70" t="s">
        <v>184</v>
      </c>
      <c r="J130" s="44">
        <v>2022</v>
      </c>
    </row>
    <row r="131" spans="1:10" ht="21" customHeight="1">
      <c r="A131" s="64">
        <v>9</v>
      </c>
      <c r="B131" s="63" t="s">
        <v>699</v>
      </c>
      <c r="C131" s="395"/>
      <c r="D131" s="70" t="s">
        <v>169</v>
      </c>
      <c r="E131" s="70" t="s">
        <v>213</v>
      </c>
      <c r="F131" s="70" t="s">
        <v>186</v>
      </c>
      <c r="G131" s="70" t="s">
        <v>177</v>
      </c>
      <c r="H131" s="14">
        <f>3/7</f>
        <v>0.42857142857142855</v>
      </c>
      <c r="I131" s="70" t="s">
        <v>169</v>
      </c>
      <c r="J131" s="44">
        <v>2022</v>
      </c>
    </row>
    <row r="132" spans="1:10" ht="21" customHeight="1">
      <c r="A132" s="64">
        <v>10</v>
      </c>
      <c r="B132" s="63" t="s">
        <v>698</v>
      </c>
      <c r="C132" s="395"/>
      <c r="D132" s="70" t="s">
        <v>170</v>
      </c>
      <c r="E132" s="70" t="s">
        <v>213</v>
      </c>
      <c r="F132" s="70" t="s">
        <v>184</v>
      </c>
      <c r="G132" s="70" t="s">
        <v>177</v>
      </c>
      <c r="H132" s="14">
        <f>3/7</f>
        <v>0.42857142857142855</v>
      </c>
      <c r="I132" s="70" t="s">
        <v>170</v>
      </c>
      <c r="J132" s="44">
        <v>2022</v>
      </c>
    </row>
    <row r="133" spans="1:10" ht="21" customHeight="1">
      <c r="A133" s="64">
        <v>11</v>
      </c>
      <c r="B133" s="63" t="s">
        <v>697</v>
      </c>
      <c r="C133" s="395"/>
      <c r="D133" s="70" t="s">
        <v>232</v>
      </c>
      <c r="E133" s="70" t="s">
        <v>213</v>
      </c>
      <c r="F133" s="70" t="s">
        <v>169</v>
      </c>
      <c r="G133" s="70" t="s">
        <v>177</v>
      </c>
      <c r="H133" s="14">
        <f>3/7</f>
        <v>0.42857142857142855</v>
      </c>
      <c r="I133" s="70" t="s">
        <v>232</v>
      </c>
      <c r="J133" s="44">
        <v>2022</v>
      </c>
    </row>
    <row r="134" spans="1:10" ht="21" customHeight="1">
      <c r="A134" s="64">
        <v>12</v>
      </c>
      <c r="B134" s="63" t="s">
        <v>696</v>
      </c>
      <c r="C134" s="395"/>
      <c r="D134" s="70" t="s">
        <v>275</v>
      </c>
      <c r="E134" s="70" t="s">
        <v>213</v>
      </c>
      <c r="F134" s="70" t="s">
        <v>170</v>
      </c>
      <c r="G134" s="70" t="s">
        <v>177</v>
      </c>
      <c r="H134" s="14">
        <f>3/7</f>
        <v>0.42857142857142855</v>
      </c>
      <c r="I134" s="70" t="s">
        <v>275</v>
      </c>
      <c r="J134" s="44">
        <v>2022</v>
      </c>
    </row>
    <row r="135" spans="1:10" ht="21" customHeight="1">
      <c r="A135" s="64">
        <v>13</v>
      </c>
      <c r="B135" s="63" t="s">
        <v>695</v>
      </c>
      <c r="C135" s="395"/>
      <c r="D135" s="70" t="s">
        <v>169</v>
      </c>
      <c r="E135" s="70" t="s">
        <v>178</v>
      </c>
      <c r="F135" s="70" t="s">
        <v>182</v>
      </c>
      <c r="G135" s="70" t="s">
        <v>199</v>
      </c>
      <c r="H135" s="13">
        <f>5/5</f>
        <v>1</v>
      </c>
      <c r="I135" s="44" t="s">
        <v>170</v>
      </c>
      <c r="J135" s="44">
        <v>2022</v>
      </c>
    </row>
    <row r="136" spans="1:10" ht="21" customHeight="1">
      <c r="A136" s="64">
        <v>14</v>
      </c>
      <c r="B136" s="63" t="s">
        <v>694</v>
      </c>
      <c r="C136" s="395"/>
      <c r="D136" s="44" t="s">
        <v>693</v>
      </c>
      <c r="E136" s="44" t="s">
        <v>692</v>
      </c>
      <c r="F136" s="44" t="s">
        <v>691</v>
      </c>
      <c r="G136" s="44" t="s">
        <v>691</v>
      </c>
      <c r="H136" s="13">
        <f>2/5</f>
        <v>0.4</v>
      </c>
      <c r="I136" s="44" t="s">
        <v>690</v>
      </c>
      <c r="J136" s="44">
        <v>2023</v>
      </c>
    </row>
    <row r="137" spans="1:10" ht="21" customHeight="1">
      <c r="A137" s="64">
        <v>15</v>
      </c>
      <c r="B137" s="63" t="s">
        <v>689</v>
      </c>
      <c r="C137" s="64" t="s">
        <v>664</v>
      </c>
      <c r="D137" s="70" t="s">
        <v>184</v>
      </c>
      <c r="E137" s="70" t="s">
        <v>186</v>
      </c>
      <c r="F137" s="70" t="s">
        <v>184</v>
      </c>
      <c r="G137" s="70" t="s">
        <v>688</v>
      </c>
      <c r="H137" s="14">
        <f>1/2</f>
        <v>0.5</v>
      </c>
      <c r="I137" s="70" t="s">
        <v>184</v>
      </c>
      <c r="J137" s="44">
        <v>2022</v>
      </c>
    </row>
    <row r="138" spans="1:10" ht="21" customHeight="1">
      <c r="A138" s="64">
        <v>16</v>
      </c>
      <c r="B138" s="74" t="s">
        <v>687</v>
      </c>
      <c r="C138" s="396" t="s">
        <v>653</v>
      </c>
      <c r="D138" s="70" t="s">
        <v>188</v>
      </c>
      <c r="E138" s="70" t="s">
        <v>171</v>
      </c>
      <c r="F138" s="70" t="s">
        <v>189</v>
      </c>
      <c r="G138" s="70" t="s">
        <v>190</v>
      </c>
      <c r="H138" s="13">
        <f>200/200</f>
        <v>1</v>
      </c>
      <c r="I138" s="44"/>
      <c r="J138" s="44">
        <v>2023</v>
      </c>
    </row>
    <row r="139" spans="1:10" ht="21" customHeight="1">
      <c r="A139" s="64">
        <v>17</v>
      </c>
      <c r="B139" s="74" t="s">
        <v>686</v>
      </c>
      <c r="C139" s="396"/>
      <c r="D139" s="70" t="s">
        <v>171</v>
      </c>
      <c r="E139" s="70" t="s">
        <v>196</v>
      </c>
      <c r="F139" s="70" t="s">
        <v>172</v>
      </c>
      <c r="G139" s="70" t="s">
        <v>197</v>
      </c>
      <c r="H139" s="13">
        <f>10/30</f>
        <v>0.33333333333333331</v>
      </c>
      <c r="I139" s="44"/>
      <c r="J139" s="44">
        <v>2023</v>
      </c>
    </row>
    <row r="140" spans="1:10" ht="21" customHeight="1">
      <c r="A140" s="64">
        <v>18</v>
      </c>
      <c r="B140" s="74" t="s">
        <v>191</v>
      </c>
      <c r="C140" s="396"/>
      <c r="D140" s="70" t="s">
        <v>192</v>
      </c>
      <c r="E140" s="70" t="s">
        <v>173</v>
      </c>
      <c r="F140" s="70" t="s">
        <v>193</v>
      </c>
      <c r="G140" s="70" t="s">
        <v>172</v>
      </c>
      <c r="H140" s="13">
        <f>10/50</f>
        <v>0.2</v>
      </c>
      <c r="I140" s="44"/>
      <c r="J140" s="44">
        <v>2023</v>
      </c>
    </row>
    <row r="141" spans="1:10" ht="21" customHeight="1">
      <c r="A141" s="64">
        <v>19</v>
      </c>
      <c r="B141" s="74" t="s">
        <v>194</v>
      </c>
      <c r="C141" s="396"/>
      <c r="D141" s="70" t="s">
        <v>171</v>
      </c>
      <c r="E141" s="70" t="s">
        <v>173</v>
      </c>
      <c r="F141" s="70" t="s">
        <v>195</v>
      </c>
      <c r="G141" s="70" t="s">
        <v>193</v>
      </c>
      <c r="H141" s="13">
        <f>50/50</f>
        <v>1</v>
      </c>
      <c r="I141" s="44"/>
      <c r="J141" s="44">
        <v>2023</v>
      </c>
    </row>
    <row r="142" spans="1:10" ht="21" customHeight="1">
      <c r="A142" s="64">
        <v>20</v>
      </c>
      <c r="B142" s="63" t="s">
        <v>685</v>
      </c>
      <c r="C142" s="64" t="s">
        <v>684</v>
      </c>
      <c r="D142" s="44" t="s">
        <v>621</v>
      </c>
      <c r="E142" s="44" t="s">
        <v>620</v>
      </c>
      <c r="F142" s="44" t="s">
        <v>623</v>
      </c>
      <c r="G142" s="44" t="s">
        <v>623</v>
      </c>
      <c r="H142" s="13">
        <f>0.2/1.6</f>
        <v>0.125</v>
      </c>
      <c r="I142" s="44"/>
      <c r="J142" s="44">
        <v>2023</v>
      </c>
    </row>
    <row r="143" spans="1:10" ht="21" customHeight="1">
      <c r="A143" s="64">
        <v>21</v>
      </c>
      <c r="B143" s="63" t="s">
        <v>683</v>
      </c>
      <c r="C143" s="64" t="s">
        <v>682</v>
      </c>
      <c r="D143" s="7" t="s">
        <v>182</v>
      </c>
      <c r="E143" s="7" t="s">
        <v>182</v>
      </c>
      <c r="F143" s="7" t="s">
        <v>182</v>
      </c>
      <c r="G143" s="7" t="s">
        <v>185</v>
      </c>
      <c r="H143" s="13">
        <f>0.2/1</f>
        <v>0.2</v>
      </c>
      <c r="I143" s="44"/>
      <c r="J143" s="44">
        <v>2023</v>
      </c>
    </row>
    <row r="144" spans="1:10" ht="21" customHeight="1">
      <c r="A144" s="64">
        <v>22</v>
      </c>
      <c r="B144" s="63" t="s">
        <v>681</v>
      </c>
      <c r="C144" s="64" t="s">
        <v>680</v>
      </c>
      <c r="D144" s="44" t="s">
        <v>278</v>
      </c>
      <c r="E144" s="44" t="s">
        <v>245</v>
      </c>
      <c r="F144" s="44" t="s">
        <v>229</v>
      </c>
      <c r="G144" s="44" t="s">
        <v>229</v>
      </c>
      <c r="H144" s="44">
        <f>2000/8000*100</f>
        <v>25</v>
      </c>
      <c r="I144" s="44" t="s">
        <v>276</v>
      </c>
      <c r="J144" s="44">
        <v>2024</v>
      </c>
    </row>
    <row r="145" spans="1:12" ht="21" customHeight="1">
      <c r="A145" s="64">
        <v>23</v>
      </c>
      <c r="B145" s="63" t="s">
        <v>679</v>
      </c>
      <c r="C145" s="390" t="s">
        <v>678</v>
      </c>
      <c r="D145" s="70" t="s">
        <v>184</v>
      </c>
      <c r="E145" s="70" t="s">
        <v>211</v>
      </c>
      <c r="F145" s="70" t="s">
        <v>212</v>
      </c>
      <c r="G145" s="70" t="s">
        <v>178</v>
      </c>
      <c r="H145" s="14">
        <f>5/11</f>
        <v>0.45454545454545453</v>
      </c>
      <c r="I145" s="70" t="s">
        <v>184</v>
      </c>
      <c r="J145" s="44">
        <v>2024</v>
      </c>
    </row>
    <row r="146" spans="1:12" ht="21" customHeight="1">
      <c r="A146" s="64">
        <v>24</v>
      </c>
      <c r="B146" s="63" t="s">
        <v>677</v>
      </c>
      <c r="C146" s="390"/>
      <c r="D146" s="70" t="s">
        <v>184</v>
      </c>
      <c r="E146" s="70" t="s">
        <v>213</v>
      </c>
      <c r="F146" s="70" t="s">
        <v>182</v>
      </c>
      <c r="G146" s="70" t="s">
        <v>177</v>
      </c>
      <c r="H146" s="14">
        <f>3/7</f>
        <v>0.42857142857142855</v>
      </c>
      <c r="I146" s="70" t="s">
        <v>184</v>
      </c>
      <c r="J146" s="44">
        <v>2024</v>
      </c>
    </row>
    <row r="147" spans="1:12" ht="21" customHeight="1">
      <c r="A147" s="64">
        <v>25</v>
      </c>
      <c r="B147" s="63" t="s">
        <v>676</v>
      </c>
      <c r="C147" s="64" t="s">
        <v>675</v>
      </c>
      <c r="D147" s="7" t="s">
        <v>244</v>
      </c>
      <c r="E147" s="7" t="s">
        <v>245</v>
      </c>
      <c r="F147" s="7" t="s">
        <v>229</v>
      </c>
      <c r="G147" s="7" t="s">
        <v>229</v>
      </c>
      <c r="H147" s="13">
        <f>2.5/8</f>
        <v>0.3125</v>
      </c>
      <c r="I147" s="7" t="s">
        <v>246</v>
      </c>
      <c r="J147" s="69">
        <v>2024</v>
      </c>
    </row>
    <row r="148" spans="1:12" ht="21" customHeight="1">
      <c r="A148" s="64">
        <v>26</v>
      </c>
      <c r="B148" s="63" t="s">
        <v>674</v>
      </c>
      <c r="C148" s="64" t="s">
        <v>673</v>
      </c>
      <c r="D148" s="44" t="s">
        <v>672</v>
      </c>
      <c r="E148" s="44" t="s">
        <v>620</v>
      </c>
      <c r="F148" s="44" t="s">
        <v>186</v>
      </c>
      <c r="G148" s="44" t="s">
        <v>186</v>
      </c>
      <c r="H148" s="13">
        <f>0.4/1.6</f>
        <v>0.25</v>
      </c>
      <c r="I148" s="44"/>
      <c r="J148" s="44">
        <v>2024</v>
      </c>
      <c r="L148" s="61">
        <f>27+29+13+4+1+12+2+5+40+9+2+13+10+5+9+10+9+3+12+7+7</f>
        <v>229</v>
      </c>
    </row>
    <row r="149" spans="1:12" ht="21" customHeight="1">
      <c r="A149" s="64">
        <v>27</v>
      </c>
      <c r="B149" s="63" t="s">
        <v>671</v>
      </c>
      <c r="C149" s="394" t="s">
        <v>670</v>
      </c>
      <c r="D149" s="44" t="s">
        <v>167</v>
      </c>
      <c r="E149" s="44" t="s">
        <v>170</v>
      </c>
      <c r="F149" s="44" t="s">
        <v>275</v>
      </c>
      <c r="G149" s="44" t="s">
        <v>275</v>
      </c>
      <c r="H149" s="13">
        <f>2/5</f>
        <v>0.4</v>
      </c>
      <c r="I149" s="44" t="s">
        <v>168</v>
      </c>
      <c r="J149" s="44">
        <v>2024</v>
      </c>
    </row>
    <row r="150" spans="1:12" ht="21" customHeight="1">
      <c r="A150" s="64">
        <v>28</v>
      </c>
      <c r="B150" s="63" t="s">
        <v>669</v>
      </c>
      <c r="C150" s="394"/>
      <c r="D150" s="44" t="s">
        <v>170</v>
      </c>
      <c r="E150" s="44" t="s">
        <v>186</v>
      </c>
      <c r="F150" s="44" t="s">
        <v>183</v>
      </c>
      <c r="G150" s="44" t="s">
        <v>183</v>
      </c>
      <c r="H150" s="13">
        <f>500/2000</f>
        <v>0.25</v>
      </c>
      <c r="I150" s="44" t="s">
        <v>167</v>
      </c>
      <c r="J150" s="44">
        <v>2024</v>
      </c>
    </row>
    <row r="151" spans="1:12" ht="21" customHeight="1">
      <c r="A151" s="64">
        <v>29</v>
      </c>
      <c r="B151" s="63" t="s">
        <v>668</v>
      </c>
      <c r="C151" s="394"/>
      <c r="D151" s="44" t="s">
        <v>170</v>
      </c>
      <c r="E151" s="44" t="s">
        <v>186</v>
      </c>
      <c r="F151" s="44" t="s">
        <v>183</v>
      </c>
      <c r="G151" s="44" t="s">
        <v>183</v>
      </c>
      <c r="H151" s="13">
        <f>500/2000</f>
        <v>0.25</v>
      </c>
      <c r="I151" s="44" t="s">
        <v>167</v>
      </c>
      <c r="J151" s="44">
        <v>2024</v>
      </c>
    </row>
    <row r="152" spans="1:12" ht="21" customHeight="1">
      <c r="A152" s="64">
        <v>30</v>
      </c>
      <c r="B152" s="63" t="s">
        <v>667</v>
      </c>
      <c r="C152" s="394"/>
      <c r="D152" s="44" t="s">
        <v>167</v>
      </c>
      <c r="E152" s="44" t="s">
        <v>170</v>
      </c>
      <c r="F152" s="44" t="s">
        <v>275</v>
      </c>
      <c r="G152" s="44" t="s">
        <v>275</v>
      </c>
      <c r="H152" s="13">
        <f>2/5</f>
        <v>0.4</v>
      </c>
      <c r="I152" s="44" t="s">
        <v>168</v>
      </c>
      <c r="J152" s="44">
        <v>2024</v>
      </c>
    </row>
    <row r="153" spans="1:12" ht="21" customHeight="1">
      <c r="A153" s="64">
        <v>31</v>
      </c>
      <c r="B153" s="63" t="s">
        <v>666</v>
      </c>
      <c r="C153" s="394"/>
      <c r="D153" s="44" t="s">
        <v>170</v>
      </c>
      <c r="E153" s="44" t="s">
        <v>184</v>
      </c>
      <c r="F153" s="44" t="s">
        <v>169</v>
      </c>
      <c r="G153" s="44" t="s">
        <v>169</v>
      </c>
      <c r="H153" s="13">
        <f>1/3</f>
        <v>0.33333333333333331</v>
      </c>
      <c r="I153" s="44" t="s">
        <v>167</v>
      </c>
      <c r="J153" s="44">
        <v>2024</v>
      </c>
    </row>
    <row r="154" spans="1:12" ht="21" customHeight="1">
      <c r="A154" s="64">
        <v>32</v>
      </c>
      <c r="B154" s="63" t="s">
        <v>665</v>
      </c>
      <c r="C154" s="394" t="s">
        <v>664</v>
      </c>
      <c r="D154" s="70" t="s">
        <v>232</v>
      </c>
      <c r="E154" s="70" t="s">
        <v>213</v>
      </c>
      <c r="F154" s="70" t="s">
        <v>169</v>
      </c>
      <c r="G154" s="70" t="s">
        <v>177</v>
      </c>
      <c r="H154" s="14">
        <f>3/7</f>
        <v>0.42857142857142855</v>
      </c>
      <c r="I154" s="70" t="s">
        <v>232</v>
      </c>
      <c r="J154" s="44">
        <v>2024</v>
      </c>
    </row>
    <row r="155" spans="1:12" ht="21" customHeight="1">
      <c r="A155" s="64">
        <v>33</v>
      </c>
      <c r="B155" s="63" t="s">
        <v>663</v>
      </c>
      <c r="C155" s="394"/>
      <c r="D155" s="70" t="s">
        <v>275</v>
      </c>
      <c r="E155" s="70" t="s">
        <v>213</v>
      </c>
      <c r="F155" s="70" t="s">
        <v>170</v>
      </c>
      <c r="G155" s="70" t="s">
        <v>177</v>
      </c>
      <c r="H155" s="14">
        <f>3/7</f>
        <v>0.42857142857142855</v>
      </c>
      <c r="I155" s="70" t="s">
        <v>275</v>
      </c>
      <c r="J155" s="44">
        <v>2024</v>
      </c>
    </row>
    <row r="156" spans="1:12" ht="21" customHeight="1">
      <c r="A156" s="64">
        <v>34</v>
      </c>
      <c r="B156" s="63" t="s">
        <v>204</v>
      </c>
      <c r="C156" s="64" t="s">
        <v>662</v>
      </c>
      <c r="D156" s="44" t="s">
        <v>182</v>
      </c>
      <c r="E156" s="44" t="s">
        <v>655</v>
      </c>
      <c r="F156" s="44" t="s">
        <v>254</v>
      </c>
      <c r="G156" s="44" t="s">
        <v>254</v>
      </c>
      <c r="H156" s="13">
        <f>0.15/0.45</f>
        <v>0.33333333333333331</v>
      </c>
      <c r="I156" s="44" t="s">
        <v>186</v>
      </c>
      <c r="J156" s="44">
        <v>2024</v>
      </c>
    </row>
    <row r="157" spans="1:12" ht="21" customHeight="1">
      <c r="A157" s="64">
        <v>35</v>
      </c>
      <c r="B157" s="63" t="s">
        <v>661</v>
      </c>
      <c r="C157" s="390" t="s">
        <v>660</v>
      </c>
      <c r="D157" s="44" t="s">
        <v>182</v>
      </c>
      <c r="E157" s="44" t="s">
        <v>655</v>
      </c>
      <c r="F157" s="44" t="s">
        <v>254</v>
      </c>
      <c r="G157" s="44" t="s">
        <v>254</v>
      </c>
      <c r="H157" s="13">
        <f>0.15/0.45</f>
        <v>0.33333333333333331</v>
      </c>
      <c r="I157" s="44" t="s">
        <v>186</v>
      </c>
      <c r="J157" s="44">
        <v>2024</v>
      </c>
    </row>
    <row r="158" spans="1:12" ht="21" customHeight="1">
      <c r="A158" s="64">
        <v>36</v>
      </c>
      <c r="B158" s="63" t="s">
        <v>659</v>
      </c>
      <c r="C158" s="390"/>
      <c r="D158" s="44" t="s">
        <v>169</v>
      </c>
      <c r="E158" s="44" t="s">
        <v>658</v>
      </c>
      <c r="F158" s="44" t="s">
        <v>186</v>
      </c>
      <c r="G158" s="44" t="s">
        <v>186</v>
      </c>
      <c r="H158" s="13">
        <f>0.75/1.25</f>
        <v>0.6</v>
      </c>
      <c r="I158" s="44" t="s">
        <v>170</v>
      </c>
      <c r="J158" s="44">
        <v>2024</v>
      </c>
    </row>
    <row r="159" spans="1:12" ht="21" customHeight="1">
      <c r="A159" s="64">
        <v>37</v>
      </c>
      <c r="B159" s="63" t="s">
        <v>657</v>
      </c>
      <c r="C159" s="390"/>
      <c r="D159" s="44" t="s">
        <v>182</v>
      </c>
      <c r="E159" s="44" t="s">
        <v>655</v>
      </c>
      <c r="F159" s="44" t="s">
        <v>254</v>
      </c>
      <c r="G159" s="44" t="s">
        <v>254</v>
      </c>
      <c r="H159" s="13">
        <f>0.15/0.45</f>
        <v>0.33333333333333331</v>
      </c>
      <c r="I159" s="44" t="s">
        <v>186</v>
      </c>
      <c r="J159" s="44">
        <v>2024</v>
      </c>
    </row>
    <row r="160" spans="1:12" ht="21" customHeight="1">
      <c r="A160" s="64">
        <v>38</v>
      </c>
      <c r="B160" s="63" t="s">
        <v>656</v>
      </c>
      <c r="C160" s="390"/>
      <c r="D160" s="44" t="s">
        <v>186</v>
      </c>
      <c r="E160" s="44" t="s">
        <v>655</v>
      </c>
      <c r="F160" s="44" t="s">
        <v>254</v>
      </c>
      <c r="G160" s="44" t="s">
        <v>254</v>
      </c>
      <c r="H160" s="13">
        <f>0.15/0.45</f>
        <v>0.33333333333333331</v>
      </c>
      <c r="I160" s="44" t="s">
        <v>184</v>
      </c>
      <c r="J160" s="44">
        <v>2024</v>
      </c>
    </row>
    <row r="161" spans="1:10" ht="21" customHeight="1">
      <c r="A161" s="64">
        <v>39</v>
      </c>
      <c r="B161" s="63" t="s">
        <v>654</v>
      </c>
      <c r="C161" s="64" t="s">
        <v>653</v>
      </c>
      <c r="D161" s="7" t="s">
        <v>171</v>
      </c>
      <c r="E161" s="7" t="s">
        <v>164</v>
      </c>
      <c r="F161" s="7" t="s">
        <v>164</v>
      </c>
      <c r="G161" s="7" t="s">
        <v>172</v>
      </c>
      <c r="H161" s="13">
        <f>40/80</f>
        <v>0.5</v>
      </c>
      <c r="I161" s="7" t="s">
        <v>175</v>
      </c>
      <c r="J161" s="81">
        <v>2024</v>
      </c>
    </row>
    <row r="162" spans="1:10" ht="21" customHeight="1">
      <c r="A162" s="64">
        <v>40</v>
      </c>
      <c r="B162" s="63" t="s">
        <v>652</v>
      </c>
      <c r="C162" s="64" t="s">
        <v>651</v>
      </c>
      <c r="D162" s="44" t="s">
        <v>650</v>
      </c>
      <c r="E162" s="44" t="s">
        <v>649</v>
      </c>
      <c r="F162" s="44" t="s">
        <v>648</v>
      </c>
      <c r="G162" s="44" t="s">
        <v>647</v>
      </c>
      <c r="H162" s="13">
        <f>1000/3000</f>
        <v>0.33333333333333331</v>
      </c>
      <c r="I162" s="44" t="s">
        <v>646</v>
      </c>
      <c r="J162" s="44">
        <v>2022</v>
      </c>
    </row>
    <row r="163" spans="1:10" ht="21.75" customHeight="1">
      <c r="A163" s="383" t="s">
        <v>645</v>
      </c>
      <c r="B163" s="384"/>
      <c r="C163" s="65"/>
      <c r="D163" s="44"/>
      <c r="E163" s="44"/>
      <c r="F163" s="44"/>
      <c r="G163" s="44"/>
      <c r="H163" s="44"/>
      <c r="I163" s="44"/>
      <c r="J163" s="44"/>
    </row>
    <row r="164" spans="1:10" ht="21.75" customHeight="1">
      <c r="A164" s="64">
        <v>1</v>
      </c>
      <c r="B164" s="63" t="s">
        <v>644</v>
      </c>
      <c r="C164" s="80" t="s">
        <v>643</v>
      </c>
      <c r="D164" s="70" t="s">
        <v>275</v>
      </c>
      <c r="E164" s="70" t="s">
        <v>169</v>
      </c>
      <c r="F164" s="70" t="s">
        <v>170</v>
      </c>
      <c r="G164" s="70" t="s">
        <v>170</v>
      </c>
      <c r="H164" s="14">
        <f>1/4</f>
        <v>0.25</v>
      </c>
      <c r="I164" s="70" t="s">
        <v>275</v>
      </c>
      <c r="J164" s="44">
        <v>2022</v>
      </c>
    </row>
    <row r="165" spans="1:10" ht="21.75" customHeight="1">
      <c r="A165" s="64">
        <v>2</v>
      </c>
      <c r="B165" s="63" t="s">
        <v>642</v>
      </c>
      <c r="C165" s="390" t="s">
        <v>641</v>
      </c>
      <c r="D165" s="70" t="s">
        <v>169</v>
      </c>
      <c r="E165" s="70" t="s">
        <v>213</v>
      </c>
      <c r="F165" s="70" t="s">
        <v>186</v>
      </c>
      <c r="G165" s="70" t="s">
        <v>186</v>
      </c>
      <c r="H165" s="14">
        <f>1/4</f>
        <v>0.25</v>
      </c>
      <c r="I165" s="70" t="s">
        <v>169</v>
      </c>
      <c r="J165" s="44">
        <v>2023</v>
      </c>
    </row>
    <row r="166" spans="1:10" ht="21.75" customHeight="1">
      <c r="A166" s="64">
        <v>3</v>
      </c>
      <c r="B166" s="63" t="s">
        <v>640</v>
      </c>
      <c r="C166" s="390"/>
      <c r="D166" s="70" t="s">
        <v>184</v>
      </c>
      <c r="E166" s="70" t="s">
        <v>213</v>
      </c>
      <c r="F166" s="70" t="s">
        <v>182</v>
      </c>
      <c r="G166" s="70" t="s">
        <v>182</v>
      </c>
      <c r="H166" s="14">
        <f>1/4</f>
        <v>0.25</v>
      </c>
      <c r="I166" s="70" t="s">
        <v>184</v>
      </c>
      <c r="J166" s="44">
        <v>2023</v>
      </c>
    </row>
    <row r="167" spans="1:10" ht="21.75" customHeight="1">
      <c r="A167" s="64">
        <v>4</v>
      </c>
      <c r="B167" s="63" t="s">
        <v>639</v>
      </c>
      <c r="C167" s="390"/>
      <c r="D167" s="70" t="s">
        <v>169</v>
      </c>
      <c r="E167" s="70" t="s">
        <v>213</v>
      </c>
      <c r="F167" s="70" t="s">
        <v>186</v>
      </c>
      <c r="G167" s="70" t="s">
        <v>186</v>
      </c>
      <c r="H167" s="14">
        <f>1/4</f>
        <v>0.25</v>
      </c>
      <c r="I167" s="44" t="s">
        <v>169</v>
      </c>
      <c r="J167" s="44">
        <v>2023</v>
      </c>
    </row>
    <row r="168" spans="1:10" ht="21.75" customHeight="1">
      <c r="A168" s="64">
        <v>5</v>
      </c>
      <c r="B168" s="63" t="s">
        <v>638</v>
      </c>
      <c r="C168" s="390"/>
      <c r="D168" s="70" t="s">
        <v>275</v>
      </c>
      <c r="E168" s="70" t="s">
        <v>213</v>
      </c>
      <c r="F168" s="70" t="s">
        <v>170</v>
      </c>
      <c r="G168" s="70" t="s">
        <v>170</v>
      </c>
      <c r="H168" s="14">
        <f>3/7</f>
        <v>0.42857142857142855</v>
      </c>
      <c r="I168" s="70" t="s">
        <v>275</v>
      </c>
      <c r="J168" s="44">
        <v>2023</v>
      </c>
    </row>
    <row r="169" spans="1:10" ht="21.75" customHeight="1">
      <c r="A169" s="64">
        <v>6</v>
      </c>
      <c r="B169" s="63" t="s">
        <v>637</v>
      </c>
      <c r="C169" s="390"/>
      <c r="D169" s="70" t="s">
        <v>184</v>
      </c>
      <c r="E169" s="70" t="s">
        <v>213</v>
      </c>
      <c r="F169" s="70" t="s">
        <v>182</v>
      </c>
      <c r="G169" s="70" t="s">
        <v>182</v>
      </c>
      <c r="H169" s="14">
        <f>3/7</f>
        <v>0.42857142857142855</v>
      </c>
      <c r="I169" s="70" t="s">
        <v>184</v>
      </c>
      <c r="J169" s="44">
        <v>2023</v>
      </c>
    </row>
    <row r="170" spans="1:10" ht="21.75" customHeight="1">
      <c r="A170" s="64">
        <v>7</v>
      </c>
      <c r="B170" s="79" t="s">
        <v>636</v>
      </c>
      <c r="C170" s="395" t="s">
        <v>635</v>
      </c>
      <c r="D170" s="70" t="s">
        <v>232</v>
      </c>
      <c r="E170" s="70" t="s">
        <v>213</v>
      </c>
      <c r="F170" s="70" t="s">
        <v>169</v>
      </c>
      <c r="G170" s="70" t="s">
        <v>169</v>
      </c>
      <c r="H170" s="14">
        <f>3/7</f>
        <v>0.42857142857142855</v>
      </c>
      <c r="I170" s="70" t="s">
        <v>232</v>
      </c>
      <c r="J170" s="44">
        <v>2022</v>
      </c>
    </row>
    <row r="171" spans="1:10" ht="21.75" customHeight="1">
      <c r="A171" s="64">
        <v>8</v>
      </c>
      <c r="B171" s="79" t="s">
        <v>634</v>
      </c>
      <c r="C171" s="395"/>
      <c r="D171" s="70" t="s">
        <v>184</v>
      </c>
      <c r="E171" s="70" t="s">
        <v>211</v>
      </c>
      <c r="F171" s="70" t="s">
        <v>212</v>
      </c>
      <c r="G171" s="70" t="s">
        <v>212</v>
      </c>
      <c r="H171" s="14">
        <f>5/11</f>
        <v>0.45454545454545453</v>
      </c>
      <c r="I171" s="70" t="s">
        <v>184</v>
      </c>
      <c r="J171" s="44">
        <v>2022</v>
      </c>
    </row>
    <row r="172" spans="1:10" ht="21" customHeight="1">
      <c r="A172" s="64">
        <v>9</v>
      </c>
      <c r="B172" s="63" t="s">
        <v>633</v>
      </c>
      <c r="C172" s="64" t="s">
        <v>632</v>
      </c>
      <c r="D172" s="44" t="s">
        <v>278</v>
      </c>
      <c r="E172" s="44" t="s">
        <v>245</v>
      </c>
      <c r="F172" s="44" t="s">
        <v>229</v>
      </c>
      <c r="G172" s="44" t="s">
        <v>229</v>
      </c>
      <c r="H172" s="13">
        <f>2000/8000</f>
        <v>0.25</v>
      </c>
      <c r="I172" s="44" t="s">
        <v>276</v>
      </c>
      <c r="J172" s="44">
        <v>2022</v>
      </c>
    </row>
    <row r="173" spans="1:10" ht="21.75" customHeight="1">
      <c r="A173" s="383" t="s">
        <v>631</v>
      </c>
      <c r="B173" s="384"/>
      <c r="C173" s="65"/>
      <c r="D173" s="44"/>
      <c r="E173" s="44"/>
      <c r="F173" s="44"/>
      <c r="G173" s="44"/>
      <c r="H173" s="44"/>
      <c r="I173" s="44"/>
      <c r="J173" s="44"/>
    </row>
    <row r="174" spans="1:10" ht="29.25" customHeight="1">
      <c r="A174" s="64">
        <v>1</v>
      </c>
      <c r="B174" s="63" t="s">
        <v>205</v>
      </c>
      <c r="C174" s="64" t="s">
        <v>630</v>
      </c>
      <c r="D174" s="70" t="s">
        <v>629</v>
      </c>
      <c r="E174" s="70" t="s">
        <v>206</v>
      </c>
      <c r="F174" s="70" t="s">
        <v>207</v>
      </c>
      <c r="G174" s="70" t="s">
        <v>208</v>
      </c>
      <c r="H174" s="13">
        <f>3/5</f>
        <v>0.6</v>
      </c>
      <c r="I174" s="70" t="s">
        <v>209</v>
      </c>
      <c r="J174" s="44">
        <v>2024</v>
      </c>
    </row>
    <row r="175" spans="1:10" ht="21.75" customHeight="1">
      <c r="A175" s="383" t="s">
        <v>628</v>
      </c>
      <c r="B175" s="384"/>
      <c r="C175" s="65"/>
      <c r="D175" s="44"/>
      <c r="E175" s="44"/>
      <c r="F175" s="44"/>
      <c r="G175" s="44"/>
      <c r="H175" s="44"/>
      <c r="I175" s="44"/>
      <c r="J175" s="44"/>
    </row>
    <row r="176" spans="1:10" ht="21.75" customHeight="1">
      <c r="A176" s="64">
        <v>1</v>
      </c>
      <c r="B176" s="63" t="s">
        <v>627</v>
      </c>
      <c r="C176" s="64" t="s">
        <v>626</v>
      </c>
      <c r="D176" s="44" t="s">
        <v>182</v>
      </c>
      <c r="E176" s="44" t="s">
        <v>181</v>
      </c>
      <c r="F176" s="44" t="s">
        <v>182</v>
      </c>
      <c r="G176" s="44" t="s">
        <v>182</v>
      </c>
      <c r="H176" s="13">
        <f>0.2/0.8</f>
        <v>0.25</v>
      </c>
      <c r="I176" s="44" t="s">
        <v>186</v>
      </c>
      <c r="J176" s="44">
        <v>2024</v>
      </c>
    </row>
    <row r="177" spans="1:10" ht="21" customHeight="1">
      <c r="A177" s="383" t="s">
        <v>625</v>
      </c>
      <c r="B177" s="384"/>
      <c r="C177" s="65"/>
      <c r="D177" s="44"/>
      <c r="E177" s="44"/>
      <c r="F177" s="44"/>
      <c r="G177" s="44"/>
      <c r="H177" s="44"/>
      <c r="I177" s="44"/>
      <c r="J177" s="44"/>
    </row>
    <row r="178" spans="1:10" ht="21" customHeight="1">
      <c r="A178" s="64">
        <v>1</v>
      </c>
      <c r="B178" s="63" t="s">
        <v>624</v>
      </c>
      <c r="C178" s="389" t="s">
        <v>283</v>
      </c>
      <c r="D178" s="44" t="s">
        <v>621</v>
      </c>
      <c r="E178" s="44" t="s">
        <v>620</v>
      </c>
      <c r="F178" s="44" t="s">
        <v>623</v>
      </c>
      <c r="G178" s="44" t="s">
        <v>623</v>
      </c>
      <c r="H178" s="13">
        <f>0.2/1.6</f>
        <v>0.125</v>
      </c>
      <c r="I178" s="44"/>
      <c r="J178" s="44">
        <v>2023</v>
      </c>
    </row>
    <row r="179" spans="1:10" ht="21" customHeight="1">
      <c r="A179" s="64">
        <v>2</v>
      </c>
      <c r="B179" s="63" t="s">
        <v>622</v>
      </c>
      <c r="C179" s="389"/>
      <c r="D179" s="44" t="s">
        <v>621</v>
      </c>
      <c r="E179" s="44" t="s">
        <v>620</v>
      </c>
      <c r="F179" s="44" t="s">
        <v>186</v>
      </c>
      <c r="G179" s="44" t="s">
        <v>186</v>
      </c>
      <c r="H179" s="13">
        <f>0.4/1.6</f>
        <v>0.25</v>
      </c>
      <c r="I179" s="44"/>
      <c r="J179" s="44">
        <v>2023</v>
      </c>
    </row>
    <row r="180" spans="1:10" ht="21" customHeight="1">
      <c r="A180" s="64">
        <v>3</v>
      </c>
      <c r="B180" s="78" t="s">
        <v>619</v>
      </c>
      <c r="C180" s="393" t="s">
        <v>618</v>
      </c>
      <c r="D180" s="70" t="s">
        <v>184</v>
      </c>
      <c r="E180" s="70" t="s">
        <v>213</v>
      </c>
      <c r="F180" s="70" t="s">
        <v>182</v>
      </c>
      <c r="G180" s="70" t="s">
        <v>182</v>
      </c>
      <c r="H180" s="14">
        <f>0.3/0.7</f>
        <v>0.4285714285714286</v>
      </c>
      <c r="I180" s="70" t="s">
        <v>169</v>
      </c>
      <c r="J180" s="44">
        <v>2022</v>
      </c>
    </row>
    <row r="181" spans="1:10" ht="21" customHeight="1">
      <c r="A181" s="64">
        <v>4</v>
      </c>
      <c r="B181" s="78" t="s">
        <v>617</v>
      </c>
      <c r="C181" s="393"/>
      <c r="D181" s="70" t="s">
        <v>184</v>
      </c>
      <c r="E181" s="70" t="s">
        <v>213</v>
      </c>
      <c r="F181" s="70" t="s">
        <v>182</v>
      </c>
      <c r="G181" s="70" t="s">
        <v>182</v>
      </c>
      <c r="H181" s="14">
        <f>3/7</f>
        <v>0.42857142857142855</v>
      </c>
      <c r="I181" s="70" t="s">
        <v>169</v>
      </c>
      <c r="J181" s="44">
        <v>2022</v>
      </c>
    </row>
    <row r="182" spans="1:10" ht="21" customHeight="1">
      <c r="A182" s="64">
        <v>5</v>
      </c>
      <c r="B182" s="78" t="s">
        <v>616</v>
      </c>
      <c r="C182" s="393"/>
      <c r="D182" s="70" t="s">
        <v>184</v>
      </c>
      <c r="E182" s="70" t="s">
        <v>213</v>
      </c>
      <c r="F182" s="70" t="s">
        <v>615</v>
      </c>
      <c r="G182" s="70" t="s">
        <v>615</v>
      </c>
      <c r="H182" s="14">
        <f>2/7</f>
        <v>0.2857142857142857</v>
      </c>
      <c r="I182" s="70" t="s">
        <v>169</v>
      </c>
      <c r="J182" s="44">
        <v>2022</v>
      </c>
    </row>
    <row r="183" spans="1:10" ht="21" customHeight="1">
      <c r="A183" s="64">
        <v>6</v>
      </c>
      <c r="B183" s="78" t="s">
        <v>614</v>
      </c>
      <c r="C183" s="393" t="s">
        <v>613</v>
      </c>
      <c r="D183" s="44" t="s">
        <v>167</v>
      </c>
      <c r="E183" s="44" t="s">
        <v>241</v>
      </c>
      <c r="F183" s="44" t="s">
        <v>242</v>
      </c>
      <c r="G183" s="44" t="s">
        <v>242</v>
      </c>
      <c r="H183" s="68">
        <f>3/8</f>
        <v>0.375</v>
      </c>
      <c r="I183" s="44" t="s">
        <v>168</v>
      </c>
      <c r="J183" s="44">
        <v>2022</v>
      </c>
    </row>
    <row r="184" spans="1:10" ht="21" customHeight="1">
      <c r="A184" s="64">
        <v>7</v>
      </c>
      <c r="B184" s="78" t="s">
        <v>612</v>
      </c>
      <c r="C184" s="393"/>
      <c r="D184" s="44" t="s">
        <v>290</v>
      </c>
      <c r="E184" s="44" t="s">
        <v>241</v>
      </c>
      <c r="F184" s="44" t="s">
        <v>242</v>
      </c>
      <c r="G184" s="44" t="s">
        <v>242</v>
      </c>
      <c r="H184" s="68">
        <f>3/8</f>
        <v>0.375</v>
      </c>
      <c r="I184" s="44" t="s">
        <v>237</v>
      </c>
      <c r="J184" s="44">
        <v>2023</v>
      </c>
    </row>
    <row r="185" spans="1:10" ht="21" customHeight="1">
      <c r="A185" s="64">
        <v>8</v>
      </c>
      <c r="B185" s="78" t="s">
        <v>611</v>
      </c>
      <c r="C185" s="393"/>
      <c r="D185" s="44" t="s">
        <v>238</v>
      </c>
      <c r="E185" s="44" t="s">
        <v>241</v>
      </c>
      <c r="F185" s="44" t="s">
        <v>242</v>
      </c>
      <c r="G185" s="44" t="s">
        <v>242</v>
      </c>
      <c r="H185" s="68">
        <f>3/8</f>
        <v>0.375</v>
      </c>
      <c r="I185" s="44" t="s">
        <v>610</v>
      </c>
      <c r="J185" s="44">
        <v>2024</v>
      </c>
    </row>
    <row r="186" spans="1:10" ht="21" customHeight="1">
      <c r="A186" s="64">
        <v>9</v>
      </c>
      <c r="B186" s="78" t="s">
        <v>609</v>
      </c>
      <c r="C186" s="393"/>
      <c r="D186" s="44" t="s">
        <v>258</v>
      </c>
      <c r="E186" s="44" t="s">
        <v>608</v>
      </c>
      <c r="F186" s="44" t="s">
        <v>164</v>
      </c>
      <c r="G186" s="44" t="s">
        <v>164</v>
      </c>
      <c r="H186" s="13">
        <f>20/60</f>
        <v>0.33333333333333331</v>
      </c>
      <c r="I186" s="44" t="s">
        <v>195</v>
      </c>
      <c r="J186" s="44">
        <v>2023</v>
      </c>
    </row>
    <row r="187" spans="1:10" ht="21" customHeight="1">
      <c r="A187" s="64">
        <v>10</v>
      </c>
      <c r="B187" s="66" t="s">
        <v>284</v>
      </c>
      <c r="C187" s="389" t="s">
        <v>607</v>
      </c>
      <c r="D187" s="44" t="s">
        <v>178</v>
      </c>
      <c r="E187" s="44" t="s">
        <v>285</v>
      </c>
      <c r="F187" s="44" t="s">
        <v>218</v>
      </c>
      <c r="G187" s="44" t="s">
        <v>218</v>
      </c>
      <c r="H187" s="68">
        <f>8/12</f>
        <v>0.66666666666666663</v>
      </c>
      <c r="I187" s="44" t="s">
        <v>254</v>
      </c>
      <c r="J187" s="44">
        <v>2024</v>
      </c>
    </row>
    <row r="188" spans="1:10" ht="21" customHeight="1">
      <c r="A188" s="64">
        <v>11</v>
      </c>
      <c r="B188" s="66" t="s">
        <v>606</v>
      </c>
      <c r="C188" s="389"/>
      <c r="D188" s="44" t="s">
        <v>168</v>
      </c>
      <c r="E188" s="44" t="s">
        <v>241</v>
      </c>
      <c r="F188" s="44" t="s">
        <v>242</v>
      </c>
      <c r="G188" s="44" t="s">
        <v>242</v>
      </c>
      <c r="H188" s="68">
        <f>1/8</f>
        <v>0.125</v>
      </c>
      <c r="I188" s="44" t="s">
        <v>239</v>
      </c>
      <c r="J188" s="44">
        <v>2024</v>
      </c>
    </row>
    <row r="189" spans="1:10" ht="21" customHeight="1">
      <c r="A189" s="64">
        <v>12</v>
      </c>
      <c r="B189" s="66" t="s">
        <v>605</v>
      </c>
      <c r="C189" s="389"/>
      <c r="D189" s="44" t="s">
        <v>241</v>
      </c>
      <c r="E189" s="44" t="s">
        <v>170</v>
      </c>
      <c r="F189" s="44" t="s">
        <v>232</v>
      </c>
      <c r="G189" s="44" t="s">
        <v>232</v>
      </c>
      <c r="H189" s="68">
        <f>1/5</f>
        <v>0.2</v>
      </c>
      <c r="I189" s="44" t="s">
        <v>242</v>
      </c>
      <c r="J189" s="44">
        <v>2024</v>
      </c>
    </row>
    <row r="190" spans="1:10" ht="21" customHeight="1">
      <c r="A190" s="64">
        <v>13</v>
      </c>
      <c r="B190" s="74" t="s">
        <v>604</v>
      </c>
      <c r="C190" s="389"/>
      <c r="D190" s="44" t="s">
        <v>178</v>
      </c>
      <c r="E190" s="44" t="s">
        <v>285</v>
      </c>
      <c r="F190" s="44" t="s">
        <v>218</v>
      </c>
      <c r="G190" s="44" t="s">
        <v>218</v>
      </c>
      <c r="H190" s="68">
        <f>8/12</f>
        <v>0.66666666666666663</v>
      </c>
      <c r="I190" s="44" t="s">
        <v>254</v>
      </c>
      <c r="J190" s="44">
        <v>2024</v>
      </c>
    </row>
    <row r="191" spans="1:10" ht="21" customHeight="1">
      <c r="A191" s="387" t="s">
        <v>603</v>
      </c>
      <c r="B191" s="388"/>
      <c r="C191" s="73"/>
      <c r="D191" s="44"/>
      <c r="E191" s="44"/>
      <c r="F191" s="44"/>
      <c r="G191" s="44"/>
      <c r="H191" s="44"/>
      <c r="I191" s="44"/>
      <c r="J191" s="44"/>
    </row>
    <row r="192" spans="1:10" ht="21" customHeight="1">
      <c r="A192" s="64">
        <v>1</v>
      </c>
      <c r="B192" s="78" t="s">
        <v>602</v>
      </c>
      <c r="C192" s="77" t="s">
        <v>601</v>
      </c>
      <c r="D192" s="7" t="s">
        <v>229</v>
      </c>
      <c r="E192" s="7" t="s">
        <v>245</v>
      </c>
      <c r="F192" s="7" t="s">
        <v>229</v>
      </c>
      <c r="G192" s="7" t="s">
        <v>229</v>
      </c>
      <c r="H192" s="13">
        <f>2.5/8</f>
        <v>0.3125</v>
      </c>
      <c r="I192" s="7" t="s">
        <v>278</v>
      </c>
      <c r="J192" s="69">
        <v>2022</v>
      </c>
    </row>
    <row r="193" spans="1:10" ht="21" customHeight="1">
      <c r="A193" s="385" t="s">
        <v>600</v>
      </c>
      <c r="B193" s="386"/>
      <c r="C193" s="76"/>
      <c r="D193" s="44"/>
      <c r="E193" s="44"/>
      <c r="F193" s="44"/>
      <c r="G193" s="44"/>
      <c r="H193" s="44"/>
      <c r="I193" s="44"/>
      <c r="J193" s="44"/>
    </row>
    <row r="194" spans="1:10" ht="21" customHeight="1">
      <c r="A194" s="64">
        <v>1</v>
      </c>
      <c r="B194" s="63" t="s">
        <v>599</v>
      </c>
      <c r="C194" s="390" t="s">
        <v>598</v>
      </c>
      <c r="D194" s="44" t="s">
        <v>184</v>
      </c>
      <c r="E194" s="44" t="s">
        <v>282</v>
      </c>
      <c r="F194" s="44" t="s">
        <v>182</v>
      </c>
      <c r="G194" s="44" t="s">
        <v>182</v>
      </c>
      <c r="H194" s="68">
        <f>5/5</f>
        <v>1</v>
      </c>
      <c r="I194" s="44" t="s">
        <v>210</v>
      </c>
      <c r="J194" s="44">
        <v>2023</v>
      </c>
    </row>
    <row r="195" spans="1:10" ht="21" customHeight="1">
      <c r="A195" s="64">
        <v>2</v>
      </c>
      <c r="B195" s="63" t="s">
        <v>597</v>
      </c>
      <c r="C195" s="390"/>
      <c r="D195" s="44" t="s">
        <v>214</v>
      </c>
      <c r="E195" s="44" t="s">
        <v>233</v>
      </c>
      <c r="F195" s="44" t="s">
        <v>254</v>
      </c>
      <c r="G195" s="44" t="s">
        <v>254</v>
      </c>
      <c r="H195" s="68">
        <f>3/3</f>
        <v>1</v>
      </c>
      <c r="I195" s="44" t="s">
        <v>182</v>
      </c>
      <c r="J195" s="44">
        <v>2023</v>
      </c>
    </row>
    <row r="196" spans="1:10" ht="21" customHeight="1">
      <c r="A196" s="64">
        <v>3</v>
      </c>
      <c r="B196" s="63" t="s">
        <v>596</v>
      </c>
      <c r="C196" s="390"/>
      <c r="D196" s="44" t="s">
        <v>178</v>
      </c>
      <c r="E196" s="44" t="s">
        <v>178</v>
      </c>
      <c r="F196" s="44" t="s">
        <v>254</v>
      </c>
      <c r="G196" s="44" t="s">
        <v>254</v>
      </c>
      <c r="H196" s="68">
        <f>1/5</f>
        <v>0.2</v>
      </c>
      <c r="I196" s="44" t="s">
        <v>179</v>
      </c>
      <c r="J196" s="44">
        <v>2023</v>
      </c>
    </row>
    <row r="197" spans="1:10" ht="21" customHeight="1">
      <c r="A197" s="64">
        <v>4</v>
      </c>
      <c r="B197" s="74" t="s">
        <v>595</v>
      </c>
      <c r="C197" s="392" t="s">
        <v>594</v>
      </c>
      <c r="D197" s="44" t="s">
        <v>214</v>
      </c>
      <c r="E197" s="44" t="s">
        <v>233</v>
      </c>
      <c r="F197" s="44" t="s">
        <v>254</v>
      </c>
      <c r="G197" s="44" t="s">
        <v>254</v>
      </c>
      <c r="H197" s="68">
        <f t="shared" ref="H197:H202" si="0">1/3</f>
        <v>0.33333333333333331</v>
      </c>
      <c r="I197" s="44" t="s">
        <v>182</v>
      </c>
      <c r="J197" s="44">
        <v>2024</v>
      </c>
    </row>
    <row r="198" spans="1:10" ht="21" customHeight="1">
      <c r="A198" s="64">
        <v>5</v>
      </c>
      <c r="B198" s="74" t="s">
        <v>593</v>
      </c>
      <c r="C198" s="392"/>
      <c r="D198" s="44" t="s">
        <v>214</v>
      </c>
      <c r="E198" s="44" t="s">
        <v>233</v>
      </c>
      <c r="F198" s="44" t="s">
        <v>254</v>
      </c>
      <c r="G198" s="44" t="s">
        <v>254</v>
      </c>
      <c r="H198" s="68">
        <f t="shared" si="0"/>
        <v>0.33333333333333331</v>
      </c>
      <c r="I198" s="44" t="s">
        <v>186</v>
      </c>
      <c r="J198" s="44">
        <v>2024</v>
      </c>
    </row>
    <row r="199" spans="1:10" ht="21" customHeight="1">
      <c r="A199" s="64">
        <v>6</v>
      </c>
      <c r="B199" s="74" t="s">
        <v>592</v>
      </c>
      <c r="C199" s="392"/>
      <c r="D199" s="44" t="s">
        <v>214</v>
      </c>
      <c r="E199" s="44" t="s">
        <v>233</v>
      </c>
      <c r="F199" s="44" t="s">
        <v>254</v>
      </c>
      <c r="G199" s="44" t="s">
        <v>254</v>
      </c>
      <c r="H199" s="68">
        <f t="shared" si="0"/>
        <v>0.33333333333333331</v>
      </c>
      <c r="I199" s="44" t="s">
        <v>184</v>
      </c>
      <c r="J199" s="44">
        <v>2024</v>
      </c>
    </row>
    <row r="200" spans="1:10" ht="21" customHeight="1">
      <c r="A200" s="64">
        <v>7</v>
      </c>
      <c r="B200" s="74" t="s">
        <v>591</v>
      </c>
      <c r="C200" s="392"/>
      <c r="D200" s="44" t="s">
        <v>214</v>
      </c>
      <c r="E200" s="44" t="s">
        <v>233</v>
      </c>
      <c r="F200" s="44" t="s">
        <v>177</v>
      </c>
      <c r="G200" s="44" t="s">
        <v>177</v>
      </c>
      <c r="H200" s="68">
        <f t="shared" si="0"/>
        <v>0.33333333333333331</v>
      </c>
      <c r="I200" s="44" t="s">
        <v>169</v>
      </c>
      <c r="J200" s="44">
        <v>2024</v>
      </c>
    </row>
    <row r="201" spans="1:10" ht="21" customHeight="1">
      <c r="A201" s="64">
        <v>8</v>
      </c>
      <c r="B201" s="74" t="s">
        <v>590</v>
      </c>
      <c r="C201" s="392"/>
      <c r="D201" s="44" t="s">
        <v>214</v>
      </c>
      <c r="E201" s="44" t="s">
        <v>233</v>
      </c>
      <c r="F201" s="44" t="s">
        <v>177</v>
      </c>
      <c r="G201" s="44" t="s">
        <v>177</v>
      </c>
      <c r="H201" s="68">
        <f t="shared" si="0"/>
        <v>0.33333333333333331</v>
      </c>
      <c r="I201" s="44" t="s">
        <v>170</v>
      </c>
      <c r="J201" s="44">
        <v>2024</v>
      </c>
    </row>
    <row r="202" spans="1:10" ht="21" customHeight="1">
      <c r="A202" s="64">
        <v>9</v>
      </c>
      <c r="B202" s="74" t="s">
        <v>589</v>
      </c>
      <c r="C202" s="392"/>
      <c r="D202" s="44" t="s">
        <v>214</v>
      </c>
      <c r="E202" s="44" t="s">
        <v>233</v>
      </c>
      <c r="F202" s="44" t="s">
        <v>177</v>
      </c>
      <c r="G202" s="44" t="s">
        <v>177</v>
      </c>
      <c r="H202" s="68">
        <f t="shared" si="0"/>
        <v>0.33333333333333331</v>
      </c>
      <c r="I202" s="44" t="s">
        <v>170</v>
      </c>
      <c r="J202" s="44">
        <v>2024</v>
      </c>
    </row>
    <row r="203" spans="1:10" ht="21.75" customHeight="1">
      <c r="A203" s="381" t="s">
        <v>588</v>
      </c>
      <c r="B203" s="382"/>
      <c r="C203" s="72"/>
      <c r="D203" s="44"/>
      <c r="E203" s="44"/>
      <c r="F203" s="44"/>
      <c r="G203" s="44"/>
      <c r="H203" s="44"/>
      <c r="I203" s="44"/>
      <c r="J203" s="44"/>
    </row>
    <row r="204" spans="1:10" ht="27" customHeight="1">
      <c r="A204" s="64">
        <v>1</v>
      </c>
      <c r="B204" s="74" t="s">
        <v>587</v>
      </c>
      <c r="C204" s="75" t="s">
        <v>586</v>
      </c>
      <c r="D204" s="44" t="s">
        <v>184</v>
      </c>
      <c r="E204" s="44" t="s">
        <v>282</v>
      </c>
      <c r="F204" s="44" t="s">
        <v>182</v>
      </c>
      <c r="G204" s="44" t="s">
        <v>182</v>
      </c>
      <c r="H204" s="68">
        <f>0.5/0.5</f>
        <v>1</v>
      </c>
      <c r="I204" s="44" t="s">
        <v>210</v>
      </c>
      <c r="J204" s="44">
        <v>2024</v>
      </c>
    </row>
    <row r="205" spans="1:10" ht="23.25" customHeight="1">
      <c r="A205" s="64">
        <v>2</v>
      </c>
      <c r="B205" s="74" t="s">
        <v>585</v>
      </c>
      <c r="C205" s="392" t="s">
        <v>584</v>
      </c>
      <c r="D205" s="44" t="s">
        <v>190</v>
      </c>
      <c r="E205" s="44" t="s">
        <v>195</v>
      </c>
      <c r="F205" s="44" t="s">
        <v>256</v>
      </c>
      <c r="G205" s="44" t="s">
        <v>256</v>
      </c>
      <c r="H205" s="68">
        <f>5/10</f>
        <v>0.5</v>
      </c>
      <c r="I205" s="44" t="s">
        <v>192</v>
      </c>
      <c r="J205" s="44">
        <v>2023</v>
      </c>
    </row>
    <row r="206" spans="1:10" ht="25.5" customHeight="1">
      <c r="A206" s="64">
        <v>3</v>
      </c>
      <c r="B206" s="74" t="s">
        <v>583</v>
      </c>
      <c r="C206" s="392"/>
      <c r="D206" s="44" t="s">
        <v>195</v>
      </c>
      <c r="E206" s="44" t="s">
        <v>173</v>
      </c>
      <c r="F206" s="44" t="s">
        <v>164</v>
      </c>
      <c r="G206" s="44" t="s">
        <v>582</v>
      </c>
      <c r="H206" s="13">
        <f>30/50</f>
        <v>0.6</v>
      </c>
      <c r="I206" s="44" t="s">
        <v>171</v>
      </c>
      <c r="J206" s="44">
        <v>2023</v>
      </c>
    </row>
    <row r="207" spans="1:10" ht="21.75" customHeight="1">
      <c r="A207" s="387" t="s">
        <v>581</v>
      </c>
      <c r="B207" s="388"/>
      <c r="C207" s="73"/>
      <c r="D207" s="44"/>
      <c r="E207" s="44"/>
      <c r="F207" s="44"/>
      <c r="G207" s="44"/>
      <c r="H207" s="44"/>
      <c r="I207" s="44"/>
      <c r="J207" s="44"/>
    </row>
    <row r="208" spans="1:10" ht="21.75" customHeight="1">
      <c r="A208" s="64">
        <v>1</v>
      </c>
      <c r="B208" s="63" t="s">
        <v>580</v>
      </c>
      <c r="C208" s="71" t="s">
        <v>579</v>
      </c>
      <c r="D208" s="358" t="s">
        <v>578</v>
      </c>
      <c r="E208" s="358"/>
      <c r="F208" s="358"/>
      <c r="G208" s="358"/>
      <c r="H208" s="358"/>
      <c r="I208" s="358"/>
      <c r="J208" s="358"/>
    </row>
    <row r="209" spans="1:10" ht="21.75" customHeight="1">
      <c r="A209" s="64">
        <v>2</v>
      </c>
      <c r="B209" s="63" t="s">
        <v>577</v>
      </c>
      <c r="C209" s="71" t="s">
        <v>576</v>
      </c>
      <c r="D209" s="44" t="s">
        <v>258</v>
      </c>
      <c r="E209" s="44" t="s">
        <v>291</v>
      </c>
      <c r="F209" s="44" t="s">
        <v>163</v>
      </c>
      <c r="G209" s="44" t="s">
        <v>575</v>
      </c>
      <c r="H209" s="13">
        <f>10/55</f>
        <v>0.18181818181818182</v>
      </c>
      <c r="I209" s="44" t="s">
        <v>195</v>
      </c>
      <c r="J209" s="44">
        <v>2024</v>
      </c>
    </row>
    <row r="210" spans="1:10" ht="21.75" customHeight="1">
      <c r="A210" s="381" t="s">
        <v>574</v>
      </c>
      <c r="B210" s="382"/>
      <c r="C210" s="72"/>
      <c r="D210" s="44"/>
      <c r="E210" s="44"/>
      <c r="F210" s="44"/>
      <c r="G210" s="44"/>
      <c r="H210" s="44"/>
      <c r="I210" s="44"/>
      <c r="J210" s="44"/>
    </row>
    <row r="211" spans="1:10" ht="21.75" customHeight="1">
      <c r="A211" s="64">
        <v>1</v>
      </c>
      <c r="B211" s="63" t="s">
        <v>230</v>
      </c>
      <c r="C211" s="390" t="s">
        <v>573</v>
      </c>
      <c r="D211" s="69" t="s">
        <v>170</v>
      </c>
      <c r="E211" s="44" t="s">
        <v>184</v>
      </c>
      <c r="F211" s="44" t="s">
        <v>169</v>
      </c>
      <c r="G211" s="44" t="s">
        <v>169</v>
      </c>
      <c r="H211" s="68">
        <f>1/3</f>
        <v>0.33333333333333331</v>
      </c>
      <c r="I211" s="69" t="s">
        <v>167</v>
      </c>
      <c r="J211" s="44">
        <v>2023</v>
      </c>
    </row>
    <row r="212" spans="1:10" ht="21.75" customHeight="1">
      <c r="A212" s="64">
        <v>2</v>
      </c>
      <c r="B212" s="63" t="s">
        <v>231</v>
      </c>
      <c r="C212" s="390"/>
      <c r="D212" s="69" t="s">
        <v>215</v>
      </c>
      <c r="E212" s="44" t="s">
        <v>207</v>
      </c>
      <c r="F212" s="69" t="s">
        <v>215</v>
      </c>
      <c r="G212" s="69" t="s">
        <v>215</v>
      </c>
      <c r="H212" s="68">
        <f>2/8</f>
        <v>0.25</v>
      </c>
      <c r="I212" s="69" t="s">
        <v>217</v>
      </c>
      <c r="J212" s="44">
        <v>2023</v>
      </c>
    </row>
    <row r="213" spans="1:10" ht="21.75" customHeight="1">
      <c r="A213" s="64">
        <v>3</v>
      </c>
      <c r="B213" s="63" t="s">
        <v>572</v>
      </c>
      <c r="C213" s="390"/>
      <c r="D213" s="44" t="s">
        <v>178</v>
      </c>
      <c r="E213" s="44" t="s">
        <v>218</v>
      </c>
      <c r="F213" s="44" t="s">
        <v>233</v>
      </c>
      <c r="G213" s="44" t="s">
        <v>233</v>
      </c>
      <c r="H213" s="68">
        <f>1/2</f>
        <v>0.5</v>
      </c>
      <c r="I213" s="44" t="s">
        <v>213</v>
      </c>
      <c r="J213" s="44">
        <v>2022</v>
      </c>
    </row>
    <row r="214" spans="1:10" ht="21.75" customHeight="1">
      <c r="A214" s="64">
        <v>4</v>
      </c>
      <c r="B214" s="63" t="s">
        <v>571</v>
      </c>
      <c r="C214" s="390"/>
      <c r="D214" s="44" t="s">
        <v>178</v>
      </c>
      <c r="E214" s="44" t="s">
        <v>218</v>
      </c>
      <c r="F214" s="44" t="s">
        <v>233</v>
      </c>
      <c r="G214" s="44" t="s">
        <v>233</v>
      </c>
      <c r="H214" s="68">
        <f>1/2</f>
        <v>0.5</v>
      </c>
      <c r="I214" s="44" t="s">
        <v>213</v>
      </c>
      <c r="J214" s="44">
        <v>2022</v>
      </c>
    </row>
    <row r="215" spans="1:10" ht="21.75" customHeight="1">
      <c r="A215" s="64">
        <v>5</v>
      </c>
      <c r="B215" s="63" t="s">
        <v>570</v>
      </c>
      <c r="C215" s="390"/>
      <c r="D215" s="44" t="s">
        <v>177</v>
      </c>
      <c r="E215" s="44" t="s">
        <v>233</v>
      </c>
      <c r="F215" s="44" t="s">
        <v>177</v>
      </c>
      <c r="G215" s="44" t="s">
        <v>234</v>
      </c>
      <c r="H215" s="68">
        <f>1/3</f>
        <v>0.33333333333333331</v>
      </c>
      <c r="I215" s="44" t="s">
        <v>178</v>
      </c>
      <c r="J215" s="44">
        <v>2022</v>
      </c>
    </row>
    <row r="216" spans="1:10" ht="25.5" customHeight="1">
      <c r="A216" s="64">
        <v>6</v>
      </c>
      <c r="B216" s="63" t="s">
        <v>569</v>
      </c>
      <c r="C216" s="390" t="s">
        <v>568</v>
      </c>
      <c r="D216" s="44" t="s">
        <v>170</v>
      </c>
      <c r="E216" s="44" t="s">
        <v>185</v>
      </c>
      <c r="F216" s="44" t="s">
        <v>214</v>
      </c>
      <c r="G216" s="44" t="s">
        <v>214</v>
      </c>
      <c r="H216" s="68">
        <f>0.3/1.2</f>
        <v>0.25</v>
      </c>
      <c r="I216" s="69" t="s">
        <v>275</v>
      </c>
      <c r="J216" s="44">
        <v>2023</v>
      </c>
    </row>
    <row r="217" spans="1:10" ht="25.5" customHeight="1">
      <c r="A217" s="64">
        <v>7</v>
      </c>
      <c r="B217" s="63" t="s">
        <v>567</v>
      </c>
      <c r="C217" s="390"/>
      <c r="D217" s="44" t="s">
        <v>232</v>
      </c>
      <c r="E217" s="44" t="s">
        <v>185</v>
      </c>
      <c r="F217" s="44" t="s">
        <v>214</v>
      </c>
      <c r="G217" s="44" t="s">
        <v>214</v>
      </c>
      <c r="H217" s="68">
        <f>0.3/1.2</f>
        <v>0.25</v>
      </c>
      <c r="I217" s="69" t="s">
        <v>241</v>
      </c>
      <c r="J217" s="44">
        <v>2023</v>
      </c>
    </row>
    <row r="218" spans="1:10" ht="21.75" customHeight="1">
      <c r="A218" s="64">
        <v>8</v>
      </c>
      <c r="B218" s="63" t="s">
        <v>566</v>
      </c>
      <c r="C218" s="390" t="s">
        <v>565</v>
      </c>
      <c r="D218" s="69" t="s">
        <v>182</v>
      </c>
      <c r="E218" s="44" t="s">
        <v>178</v>
      </c>
      <c r="F218" s="69" t="s">
        <v>182</v>
      </c>
      <c r="G218" s="69" t="s">
        <v>182</v>
      </c>
      <c r="H218" s="68">
        <f>0.5/0.5</f>
        <v>1</v>
      </c>
      <c r="I218" s="69" t="s">
        <v>186</v>
      </c>
      <c r="J218" s="44">
        <v>2022</v>
      </c>
    </row>
    <row r="219" spans="1:10" ht="21.75" customHeight="1">
      <c r="A219" s="64">
        <v>9</v>
      </c>
      <c r="B219" s="63" t="s">
        <v>564</v>
      </c>
      <c r="C219" s="390"/>
      <c r="D219" s="44" t="s">
        <v>178</v>
      </c>
      <c r="E219" s="44" t="s">
        <v>218</v>
      </c>
      <c r="F219" s="44" t="s">
        <v>563</v>
      </c>
      <c r="G219" s="44" t="s">
        <v>233</v>
      </c>
      <c r="H219" s="68">
        <f>1/2</f>
        <v>0.5</v>
      </c>
      <c r="I219" s="44" t="s">
        <v>213</v>
      </c>
      <c r="J219" s="44">
        <v>2022</v>
      </c>
    </row>
    <row r="220" spans="1:10" ht="20.25" customHeight="1">
      <c r="A220" s="383" t="s">
        <v>562</v>
      </c>
      <c r="B220" s="384"/>
      <c r="C220" s="65"/>
      <c r="D220" s="44"/>
      <c r="E220" s="44"/>
      <c r="F220" s="44"/>
      <c r="G220" s="44"/>
      <c r="H220" s="44"/>
      <c r="I220" s="44"/>
      <c r="J220" s="44"/>
    </row>
    <row r="221" spans="1:10" ht="20.25" customHeight="1">
      <c r="A221" s="64">
        <v>1</v>
      </c>
      <c r="B221" s="63" t="s">
        <v>561</v>
      </c>
      <c r="C221" s="390" t="s">
        <v>560</v>
      </c>
      <c r="D221" s="44" t="s">
        <v>217</v>
      </c>
      <c r="E221" s="44" t="s">
        <v>508</v>
      </c>
      <c r="F221" s="44" t="s">
        <v>559</v>
      </c>
      <c r="G221" s="44" t="s">
        <v>559</v>
      </c>
      <c r="H221" s="13">
        <f>100/600</f>
        <v>0.16666666666666666</v>
      </c>
      <c r="I221" s="69" t="s">
        <v>217</v>
      </c>
      <c r="J221" s="44">
        <v>2024</v>
      </c>
    </row>
    <row r="222" spans="1:10" ht="20.25" customHeight="1">
      <c r="A222" s="64">
        <v>2</v>
      </c>
      <c r="B222" s="63" t="s">
        <v>558</v>
      </c>
      <c r="C222" s="390"/>
      <c r="D222" s="44" t="s">
        <v>504</v>
      </c>
      <c r="E222" s="44" t="s">
        <v>505</v>
      </c>
      <c r="F222" s="44" t="s">
        <v>557</v>
      </c>
      <c r="G222" s="44" t="s">
        <v>557</v>
      </c>
      <c r="H222" s="13">
        <f>100/800</f>
        <v>0.125</v>
      </c>
      <c r="I222" s="69" t="s">
        <v>503</v>
      </c>
      <c r="J222" s="44">
        <v>2024</v>
      </c>
    </row>
    <row r="223" spans="1:10" ht="20.25" customHeight="1">
      <c r="A223" s="64">
        <v>3</v>
      </c>
      <c r="B223" s="63" t="s">
        <v>556</v>
      </c>
      <c r="C223" s="64" t="s">
        <v>555</v>
      </c>
      <c r="D223" s="44" t="s">
        <v>554</v>
      </c>
      <c r="E223" s="44" t="s">
        <v>553</v>
      </c>
      <c r="F223" s="44" t="s">
        <v>552</v>
      </c>
      <c r="G223" s="44" t="s">
        <v>551</v>
      </c>
      <c r="H223" s="13">
        <f>1000/5000</f>
        <v>0.2</v>
      </c>
      <c r="I223" s="44" t="s">
        <v>550</v>
      </c>
      <c r="J223" s="44">
        <v>2022</v>
      </c>
    </row>
    <row r="224" spans="1:10" ht="20.25" customHeight="1">
      <c r="A224" s="383" t="s">
        <v>549</v>
      </c>
      <c r="B224" s="384"/>
      <c r="C224" s="65"/>
      <c r="D224" s="44"/>
      <c r="E224" s="44"/>
      <c r="F224" s="44"/>
      <c r="G224" s="44"/>
      <c r="H224" s="44"/>
      <c r="I224" s="44"/>
      <c r="J224" s="44"/>
    </row>
    <row r="225" spans="1:10" ht="20.25" customHeight="1">
      <c r="A225" s="64">
        <v>1</v>
      </c>
      <c r="B225" s="66" t="s">
        <v>224</v>
      </c>
      <c r="C225" s="71" t="s">
        <v>225</v>
      </c>
      <c r="D225" s="69" t="s">
        <v>226</v>
      </c>
      <c r="E225" s="69" t="s">
        <v>227</v>
      </c>
      <c r="F225" s="69" t="s">
        <v>228</v>
      </c>
      <c r="G225" s="69" t="s">
        <v>226</v>
      </c>
      <c r="H225" s="68">
        <f>1/2</f>
        <v>0.5</v>
      </c>
      <c r="I225" s="67" t="s">
        <v>229</v>
      </c>
      <c r="J225" s="44">
        <v>2024</v>
      </c>
    </row>
    <row r="226" spans="1:10" ht="20.25" customHeight="1">
      <c r="A226" s="64">
        <v>2</v>
      </c>
      <c r="B226" s="63" t="s">
        <v>548</v>
      </c>
      <c r="C226" s="390" t="s">
        <v>547</v>
      </c>
      <c r="D226" s="44" t="s">
        <v>546</v>
      </c>
      <c r="E226" s="44" t="s">
        <v>545</v>
      </c>
      <c r="F226" s="44" t="s">
        <v>544</v>
      </c>
      <c r="G226" s="44" t="s">
        <v>544</v>
      </c>
      <c r="H226" s="13">
        <f>5000/25000</f>
        <v>0.2</v>
      </c>
      <c r="I226" s="44" t="s">
        <v>543</v>
      </c>
      <c r="J226" s="44">
        <v>2022</v>
      </c>
    </row>
    <row r="227" spans="1:10" ht="20.25" customHeight="1">
      <c r="A227" s="64">
        <v>3</v>
      </c>
      <c r="B227" s="63" t="s">
        <v>542</v>
      </c>
      <c r="C227" s="390"/>
      <c r="D227" s="44" t="s">
        <v>541</v>
      </c>
      <c r="E227" s="44" t="s">
        <v>540</v>
      </c>
      <c r="F227" s="44" t="s">
        <v>539</v>
      </c>
      <c r="G227" s="44" t="s">
        <v>539</v>
      </c>
      <c r="H227" s="13">
        <f>10000/30000</f>
        <v>0.33333333333333331</v>
      </c>
      <c r="I227" s="44" t="s">
        <v>538</v>
      </c>
      <c r="J227" s="44">
        <v>2022</v>
      </c>
    </row>
    <row r="228" spans="1:10" ht="20.25" customHeight="1">
      <c r="A228" s="383" t="s">
        <v>537</v>
      </c>
      <c r="B228" s="384"/>
      <c r="C228" s="65"/>
      <c r="D228" s="44"/>
      <c r="E228" s="44"/>
      <c r="F228" s="44"/>
      <c r="G228" s="44"/>
      <c r="H228" s="44"/>
      <c r="I228" s="44"/>
      <c r="J228" s="44"/>
    </row>
    <row r="229" spans="1:10" ht="20.25" customHeight="1">
      <c r="A229" s="64">
        <v>1</v>
      </c>
      <c r="B229" s="63" t="s">
        <v>220</v>
      </c>
      <c r="C229" s="390" t="s">
        <v>221</v>
      </c>
      <c r="D229" s="67" t="s">
        <v>222</v>
      </c>
      <c r="E229" s="36" t="s">
        <v>244</v>
      </c>
      <c r="F229" s="36" t="s">
        <v>223</v>
      </c>
      <c r="G229" s="36" t="s">
        <v>223</v>
      </c>
      <c r="H229" s="68">
        <f>6/36</f>
        <v>0.16666666666666666</v>
      </c>
      <c r="I229" s="67" t="s">
        <v>536</v>
      </c>
      <c r="J229" s="44">
        <v>2023</v>
      </c>
    </row>
    <row r="230" spans="1:10" ht="20.25" customHeight="1">
      <c r="A230" s="64">
        <v>2</v>
      </c>
      <c r="B230" s="63" t="s">
        <v>535</v>
      </c>
      <c r="C230" s="390"/>
      <c r="D230" s="67" t="s">
        <v>532</v>
      </c>
      <c r="E230" s="36" t="s">
        <v>276</v>
      </c>
      <c r="F230" s="36" t="s">
        <v>274</v>
      </c>
      <c r="G230" s="36" t="s">
        <v>274</v>
      </c>
      <c r="H230" s="68">
        <f>5/20</f>
        <v>0.25</v>
      </c>
      <c r="I230" s="67" t="s">
        <v>534</v>
      </c>
      <c r="J230" s="44">
        <v>2023</v>
      </c>
    </row>
    <row r="231" spans="1:10" ht="20.25" customHeight="1">
      <c r="A231" s="64">
        <v>3</v>
      </c>
      <c r="B231" s="63" t="s">
        <v>533</v>
      </c>
      <c r="C231" s="390"/>
      <c r="D231" s="67" t="s">
        <v>532</v>
      </c>
      <c r="E231" s="36" t="s">
        <v>274</v>
      </c>
      <c r="F231" s="36" t="s">
        <v>531</v>
      </c>
      <c r="G231" s="36" t="s">
        <v>531</v>
      </c>
      <c r="H231" s="68">
        <f>7/25</f>
        <v>0.28000000000000003</v>
      </c>
      <c r="I231" s="67" t="s">
        <v>530</v>
      </c>
      <c r="J231" s="44">
        <v>2023</v>
      </c>
    </row>
    <row r="232" spans="1:10" ht="20.25" customHeight="1">
      <c r="A232" s="64">
        <v>4</v>
      </c>
      <c r="B232" s="63" t="s">
        <v>529</v>
      </c>
      <c r="C232" s="390" t="s">
        <v>221</v>
      </c>
      <c r="D232" s="70" t="s">
        <v>184</v>
      </c>
      <c r="E232" s="70" t="s">
        <v>178</v>
      </c>
      <c r="F232" s="70" t="s">
        <v>254</v>
      </c>
      <c r="G232" s="70" t="s">
        <v>181</v>
      </c>
      <c r="H232" s="14">
        <f>0.2/0.5</f>
        <v>0.4</v>
      </c>
      <c r="I232" s="70" t="s">
        <v>169</v>
      </c>
      <c r="J232" s="44">
        <v>2023</v>
      </c>
    </row>
    <row r="233" spans="1:10" ht="20.25" customHeight="1">
      <c r="A233" s="64">
        <v>5</v>
      </c>
      <c r="B233" s="63" t="s">
        <v>528</v>
      </c>
      <c r="C233" s="390"/>
      <c r="D233" s="70" t="s">
        <v>169</v>
      </c>
      <c r="E233" s="70" t="s">
        <v>178</v>
      </c>
      <c r="F233" s="70" t="s">
        <v>213</v>
      </c>
      <c r="G233" s="70" t="s">
        <v>181</v>
      </c>
      <c r="H233" s="14">
        <f>0.1/0.5</f>
        <v>0.2</v>
      </c>
      <c r="I233" s="70" t="s">
        <v>170</v>
      </c>
      <c r="J233" s="44">
        <v>2023</v>
      </c>
    </row>
    <row r="234" spans="1:10" ht="20.25" customHeight="1">
      <c r="A234" s="64">
        <v>6</v>
      </c>
      <c r="B234" s="63" t="s">
        <v>527</v>
      </c>
      <c r="C234" s="390"/>
      <c r="D234" s="70" t="s">
        <v>184</v>
      </c>
      <c r="E234" s="70" t="s">
        <v>254</v>
      </c>
      <c r="F234" s="70" t="s">
        <v>526</v>
      </c>
      <c r="G234" s="70" t="s">
        <v>526</v>
      </c>
      <c r="H234" s="14">
        <f>0.2/0.6</f>
        <v>0.33333333333333337</v>
      </c>
      <c r="I234" s="70" t="s">
        <v>169</v>
      </c>
      <c r="J234" s="44">
        <v>2023</v>
      </c>
    </row>
    <row r="235" spans="1:10" ht="20.25" customHeight="1">
      <c r="A235" s="64">
        <v>7</v>
      </c>
      <c r="B235" s="63" t="s">
        <v>525</v>
      </c>
      <c r="C235" s="390"/>
      <c r="D235" s="70" t="s">
        <v>184</v>
      </c>
      <c r="E235" s="70" t="s">
        <v>213</v>
      </c>
      <c r="F235" s="70" t="s">
        <v>182</v>
      </c>
      <c r="G235" s="70" t="s">
        <v>182</v>
      </c>
      <c r="H235" s="14">
        <f>0.3/0.7</f>
        <v>0.4285714285714286</v>
      </c>
      <c r="I235" s="70" t="s">
        <v>169</v>
      </c>
      <c r="J235" s="44">
        <v>2023</v>
      </c>
    </row>
    <row r="236" spans="1:10" ht="20.25" customHeight="1">
      <c r="A236" s="383" t="s">
        <v>524</v>
      </c>
      <c r="B236" s="384"/>
      <c r="C236" s="65"/>
      <c r="D236" s="44"/>
      <c r="E236" s="44"/>
      <c r="F236" s="44"/>
      <c r="G236" s="44"/>
      <c r="H236" s="44"/>
      <c r="I236" s="44"/>
      <c r="J236" s="44"/>
    </row>
    <row r="237" spans="1:10" ht="20.25" customHeight="1">
      <c r="A237" s="64">
        <v>1</v>
      </c>
      <c r="B237" s="63" t="s">
        <v>523</v>
      </c>
      <c r="C237" s="390" t="s">
        <v>509</v>
      </c>
      <c r="D237" s="70" t="s">
        <v>184</v>
      </c>
      <c r="E237" s="70" t="s">
        <v>213</v>
      </c>
      <c r="F237" s="70" t="s">
        <v>182</v>
      </c>
      <c r="G237" s="70" t="s">
        <v>182</v>
      </c>
      <c r="H237" s="14">
        <f>0.3/0.7</f>
        <v>0.4285714285714286</v>
      </c>
      <c r="I237" s="70" t="s">
        <v>169</v>
      </c>
      <c r="J237" s="44">
        <v>2023</v>
      </c>
    </row>
    <row r="238" spans="1:10" ht="20.25" customHeight="1">
      <c r="A238" s="64">
        <v>2</v>
      </c>
      <c r="B238" s="63" t="s">
        <v>522</v>
      </c>
      <c r="C238" s="390"/>
      <c r="D238" s="44" t="s">
        <v>521</v>
      </c>
      <c r="E238" s="44" t="s">
        <v>173</v>
      </c>
      <c r="F238" s="44" t="s">
        <v>520</v>
      </c>
      <c r="G238" s="44"/>
      <c r="H238" s="44"/>
      <c r="I238" s="44"/>
      <c r="J238" s="44"/>
    </row>
    <row r="239" spans="1:10" ht="20.25" customHeight="1">
      <c r="A239" s="64">
        <v>3</v>
      </c>
      <c r="B239" s="63" t="s">
        <v>519</v>
      </c>
      <c r="C239" s="390"/>
      <c r="D239" s="70" t="s">
        <v>184</v>
      </c>
      <c r="E239" s="70" t="s">
        <v>181</v>
      </c>
      <c r="F239" s="70" t="s">
        <v>182</v>
      </c>
      <c r="G239" s="70" t="s">
        <v>182</v>
      </c>
      <c r="H239" s="14">
        <v>0.25</v>
      </c>
      <c r="I239" s="70" t="s">
        <v>169</v>
      </c>
      <c r="J239" s="44">
        <v>2023</v>
      </c>
    </row>
    <row r="240" spans="1:10" ht="20.25" customHeight="1">
      <c r="A240" s="64">
        <v>4</v>
      </c>
      <c r="B240" s="63" t="s">
        <v>219</v>
      </c>
      <c r="C240" s="390"/>
      <c r="D240" s="70" t="s">
        <v>184</v>
      </c>
      <c r="E240" s="70" t="s">
        <v>181</v>
      </c>
      <c r="F240" s="70" t="s">
        <v>182</v>
      </c>
      <c r="G240" s="70" t="s">
        <v>182</v>
      </c>
      <c r="H240" s="14">
        <f>0.2/0.8</f>
        <v>0.25</v>
      </c>
      <c r="I240" s="70" t="s">
        <v>169</v>
      </c>
      <c r="J240" s="44">
        <v>2023</v>
      </c>
    </row>
    <row r="241" spans="1:10" ht="20.25" customHeight="1">
      <c r="A241" s="64">
        <v>5</v>
      </c>
      <c r="B241" s="63" t="s">
        <v>518</v>
      </c>
      <c r="C241" s="390"/>
      <c r="D241" s="44"/>
      <c r="E241" s="44"/>
      <c r="F241" s="44"/>
      <c r="G241" s="44"/>
      <c r="H241" s="44"/>
      <c r="I241" s="44"/>
      <c r="J241" s="44"/>
    </row>
    <row r="242" spans="1:10" ht="20.25" customHeight="1">
      <c r="A242" s="64">
        <v>6</v>
      </c>
      <c r="B242" s="63" t="s">
        <v>517</v>
      </c>
      <c r="C242" s="64" t="s">
        <v>516</v>
      </c>
      <c r="D242" s="67" t="s">
        <v>515</v>
      </c>
      <c r="E242" s="36" t="s">
        <v>244</v>
      </c>
      <c r="F242" s="36" t="s">
        <v>514</v>
      </c>
      <c r="G242" s="36" t="s">
        <v>514</v>
      </c>
      <c r="H242" s="68">
        <f>8/30</f>
        <v>0.26666666666666666</v>
      </c>
      <c r="I242" s="67" t="s">
        <v>222</v>
      </c>
      <c r="J242" s="44">
        <v>2023</v>
      </c>
    </row>
    <row r="243" spans="1:10" ht="23.25" customHeight="1">
      <c r="A243" s="64">
        <v>7</v>
      </c>
      <c r="B243" s="63" t="s">
        <v>513</v>
      </c>
      <c r="C243" s="390" t="s">
        <v>512</v>
      </c>
      <c r="D243" s="44"/>
      <c r="E243" s="44"/>
      <c r="F243" s="44"/>
      <c r="G243" s="44"/>
      <c r="H243" s="44"/>
      <c r="I243" s="44"/>
      <c r="J243" s="44"/>
    </row>
    <row r="244" spans="1:10" ht="23.25" customHeight="1">
      <c r="A244" s="64">
        <v>8</v>
      </c>
      <c r="B244" s="63" t="s">
        <v>511</v>
      </c>
      <c r="C244" s="390"/>
      <c r="D244" s="69" t="s">
        <v>215</v>
      </c>
      <c r="E244" s="44" t="s">
        <v>215</v>
      </c>
      <c r="F244" s="44" t="s">
        <v>215</v>
      </c>
      <c r="G244" s="44" t="s">
        <v>216</v>
      </c>
      <c r="H244" s="13">
        <f>200/1000</f>
        <v>0.2</v>
      </c>
      <c r="I244" s="69" t="s">
        <v>217</v>
      </c>
      <c r="J244" s="44">
        <v>2024</v>
      </c>
    </row>
    <row r="245" spans="1:10" ht="23.25" customHeight="1">
      <c r="A245" s="64">
        <v>9</v>
      </c>
      <c r="B245" s="63" t="s">
        <v>510</v>
      </c>
      <c r="C245" s="64" t="s">
        <v>509</v>
      </c>
      <c r="D245" s="44" t="s">
        <v>217</v>
      </c>
      <c r="E245" s="44" t="s">
        <v>508</v>
      </c>
      <c r="F245" s="44" t="s">
        <v>505</v>
      </c>
      <c r="G245" s="44" t="s">
        <v>505</v>
      </c>
      <c r="H245" s="13">
        <f>200/600</f>
        <v>0.33333333333333331</v>
      </c>
      <c r="I245" s="69" t="s">
        <v>217</v>
      </c>
      <c r="J245" s="44">
        <v>2024</v>
      </c>
    </row>
    <row r="246" spans="1:10" ht="23.25" customHeight="1">
      <c r="A246" s="64">
        <v>10</v>
      </c>
      <c r="B246" s="63" t="s">
        <v>507</v>
      </c>
      <c r="C246" s="64" t="s">
        <v>506</v>
      </c>
      <c r="D246" s="44" t="s">
        <v>504</v>
      </c>
      <c r="E246" s="44" t="s">
        <v>505</v>
      </c>
      <c r="F246" s="44" t="s">
        <v>504</v>
      </c>
      <c r="G246" s="44" t="s">
        <v>504</v>
      </c>
      <c r="H246" s="13">
        <f>200/800</f>
        <v>0.25</v>
      </c>
      <c r="I246" s="69" t="s">
        <v>503</v>
      </c>
      <c r="J246" s="44">
        <v>2024</v>
      </c>
    </row>
    <row r="247" spans="1:10" ht="23.25" customHeight="1">
      <c r="A247" s="64">
        <v>11</v>
      </c>
      <c r="B247" s="63" t="s">
        <v>502</v>
      </c>
      <c r="C247" s="390" t="s">
        <v>501</v>
      </c>
      <c r="D247" s="44" t="s">
        <v>499</v>
      </c>
      <c r="E247" s="44" t="s">
        <v>498</v>
      </c>
      <c r="F247" s="44" t="s">
        <v>497</v>
      </c>
      <c r="G247" s="44" t="s">
        <v>497</v>
      </c>
      <c r="H247" s="13">
        <f>300/1200</f>
        <v>0.25</v>
      </c>
      <c r="I247" s="69" t="s">
        <v>496</v>
      </c>
      <c r="J247" s="44">
        <v>2024</v>
      </c>
    </row>
    <row r="248" spans="1:10" ht="23.25" customHeight="1">
      <c r="A248" s="64">
        <v>12</v>
      </c>
      <c r="B248" s="63" t="s">
        <v>500</v>
      </c>
      <c r="C248" s="390"/>
      <c r="D248" s="44" t="s">
        <v>499</v>
      </c>
      <c r="E248" s="44" t="s">
        <v>498</v>
      </c>
      <c r="F248" s="44" t="s">
        <v>497</v>
      </c>
      <c r="G248" s="44" t="s">
        <v>497</v>
      </c>
      <c r="H248" s="13">
        <f>300/1200</f>
        <v>0.25</v>
      </c>
      <c r="I248" s="69" t="s">
        <v>496</v>
      </c>
      <c r="J248" s="44">
        <v>2024</v>
      </c>
    </row>
    <row r="249" spans="1:10" ht="21" customHeight="1">
      <c r="A249" s="383" t="s">
        <v>495</v>
      </c>
      <c r="B249" s="384"/>
      <c r="C249" s="65"/>
      <c r="D249" s="44"/>
      <c r="E249" s="44"/>
      <c r="F249" s="44"/>
      <c r="G249" s="44"/>
      <c r="H249" s="44"/>
      <c r="I249" s="44"/>
      <c r="J249" s="44"/>
    </row>
    <row r="250" spans="1:10" ht="23.25" customHeight="1">
      <c r="A250" s="64">
        <v>1</v>
      </c>
      <c r="B250" s="66" t="s">
        <v>494</v>
      </c>
      <c r="C250" s="389" t="s">
        <v>493</v>
      </c>
      <c r="D250" s="69" t="s">
        <v>214</v>
      </c>
      <c r="E250" s="44" t="s">
        <v>214</v>
      </c>
      <c r="F250" s="44" t="s">
        <v>492</v>
      </c>
      <c r="G250" s="44" t="s">
        <v>492</v>
      </c>
      <c r="H250" s="13">
        <f>1/1.5</f>
        <v>0.66666666666666663</v>
      </c>
      <c r="I250" s="69" t="s">
        <v>184</v>
      </c>
      <c r="J250" s="44">
        <v>2024</v>
      </c>
    </row>
    <row r="251" spans="1:10" ht="23.25" customHeight="1">
      <c r="A251" s="64">
        <v>2</v>
      </c>
      <c r="B251" s="66" t="s">
        <v>491</v>
      </c>
      <c r="C251" s="389"/>
      <c r="D251" s="69" t="s">
        <v>193</v>
      </c>
      <c r="E251" s="44" t="s">
        <v>173</v>
      </c>
      <c r="F251" s="44" t="s">
        <v>193</v>
      </c>
      <c r="G251" s="44" t="s">
        <v>193</v>
      </c>
      <c r="H251" s="13">
        <f>1/5</f>
        <v>0.2</v>
      </c>
      <c r="I251" s="69" t="s">
        <v>164</v>
      </c>
      <c r="J251" s="44">
        <v>2024</v>
      </c>
    </row>
    <row r="252" spans="1:10" ht="23.25" customHeight="1">
      <c r="A252" s="64">
        <v>3</v>
      </c>
      <c r="B252" s="63" t="s">
        <v>490</v>
      </c>
      <c r="C252" s="64" t="s">
        <v>487</v>
      </c>
      <c r="D252" s="69" t="s">
        <v>245</v>
      </c>
      <c r="E252" s="69" t="s">
        <v>228</v>
      </c>
      <c r="F252" s="69" t="s">
        <v>489</v>
      </c>
      <c r="G252" s="69" t="s">
        <v>489</v>
      </c>
      <c r="H252" s="68">
        <f>1/3</f>
        <v>0.33333333333333331</v>
      </c>
      <c r="I252" s="67" t="s">
        <v>229</v>
      </c>
      <c r="J252" s="44">
        <v>2024</v>
      </c>
    </row>
    <row r="253" spans="1:10" ht="27" customHeight="1">
      <c r="A253" s="64">
        <v>4</v>
      </c>
      <c r="B253" s="63" t="s">
        <v>488</v>
      </c>
      <c r="C253" s="390" t="s">
        <v>487</v>
      </c>
      <c r="D253" s="44" t="s">
        <v>485</v>
      </c>
      <c r="E253" s="44" t="s">
        <v>486</v>
      </c>
      <c r="F253" s="44" t="s">
        <v>485</v>
      </c>
      <c r="G253" s="44" t="s">
        <v>485</v>
      </c>
      <c r="H253" s="13">
        <f>2/8</f>
        <v>0.25</v>
      </c>
      <c r="I253" s="44" t="s">
        <v>484</v>
      </c>
      <c r="J253" s="44">
        <v>2024</v>
      </c>
    </row>
    <row r="254" spans="1:10" ht="23.25" customHeight="1">
      <c r="A254" s="64">
        <v>5</v>
      </c>
      <c r="B254" s="66" t="s">
        <v>483</v>
      </c>
      <c r="C254" s="390"/>
      <c r="D254" s="44" t="s">
        <v>482</v>
      </c>
      <c r="E254" s="44" t="s">
        <v>972</v>
      </c>
      <c r="F254" s="44" t="s">
        <v>482</v>
      </c>
      <c r="G254" s="44" t="s">
        <v>482</v>
      </c>
      <c r="H254" s="13">
        <f>500/1000</f>
        <v>0.5</v>
      </c>
      <c r="I254" s="44" t="s">
        <v>481</v>
      </c>
      <c r="J254" s="44">
        <v>2024</v>
      </c>
    </row>
    <row r="255" spans="1:10" ht="23.25" customHeight="1">
      <c r="A255" s="383" t="s">
        <v>480</v>
      </c>
      <c r="B255" s="384"/>
      <c r="C255" s="65"/>
      <c r="D255" s="44"/>
      <c r="E255" s="44"/>
      <c r="F255" s="44"/>
      <c r="G255" s="44"/>
      <c r="H255" s="44"/>
      <c r="I255" s="44"/>
      <c r="J255" s="44"/>
    </row>
    <row r="256" spans="1:10" ht="23.25" customHeight="1">
      <c r="A256" s="64">
        <v>1</v>
      </c>
      <c r="B256" s="63" t="s">
        <v>479</v>
      </c>
      <c r="C256" s="390" t="s">
        <v>478</v>
      </c>
      <c r="D256" s="358" t="s">
        <v>477</v>
      </c>
      <c r="E256" s="358"/>
      <c r="F256" s="358"/>
      <c r="G256" s="358"/>
      <c r="H256" s="358"/>
      <c r="I256" s="358"/>
      <c r="J256" s="358"/>
    </row>
    <row r="257" spans="1:10" ht="23.25" customHeight="1">
      <c r="A257" s="64">
        <v>2</v>
      </c>
      <c r="B257" s="63" t="s">
        <v>476</v>
      </c>
      <c r="C257" s="390"/>
      <c r="D257" s="358"/>
      <c r="E257" s="358"/>
      <c r="F257" s="358"/>
      <c r="G257" s="358"/>
      <c r="H257" s="358"/>
      <c r="I257" s="358"/>
      <c r="J257" s="358"/>
    </row>
    <row r="258" spans="1:10" ht="51.75" customHeight="1">
      <c r="A258" s="391" t="s">
        <v>981</v>
      </c>
      <c r="B258" s="391"/>
      <c r="C258" s="391"/>
      <c r="D258" s="391"/>
      <c r="E258" s="391"/>
      <c r="F258" s="391"/>
      <c r="G258" s="391"/>
      <c r="H258" s="391"/>
      <c r="I258" s="391"/>
      <c r="J258" s="391"/>
    </row>
  </sheetData>
  <mergeCells count="101">
    <mergeCell ref="A1:J1"/>
    <mergeCell ref="A6:B6"/>
    <mergeCell ref="A3:A4"/>
    <mergeCell ref="B3:B4"/>
    <mergeCell ref="C14:C15"/>
    <mergeCell ref="C16:C17"/>
    <mergeCell ref="A2:J2"/>
    <mergeCell ref="F3:G3"/>
    <mergeCell ref="C35:C38"/>
    <mergeCell ref="C39:C41"/>
    <mergeCell ref="J39:J40"/>
    <mergeCell ref="H3:H4"/>
    <mergeCell ref="I3:I4"/>
    <mergeCell ref="D98:J98"/>
    <mergeCell ref="C69:C70"/>
    <mergeCell ref="C71:C72"/>
    <mergeCell ref="C74:C75"/>
    <mergeCell ref="C79:C80"/>
    <mergeCell ref="C44:C45"/>
    <mergeCell ref="C46:C49"/>
    <mergeCell ref="C50:C53"/>
    <mergeCell ref="C54:C55"/>
    <mergeCell ref="C59:C60"/>
    <mergeCell ref="J3:J4"/>
    <mergeCell ref="C3:C4"/>
    <mergeCell ref="D3:D4"/>
    <mergeCell ref="E3:E4"/>
    <mergeCell ref="C7:C8"/>
    <mergeCell ref="C19:C23"/>
    <mergeCell ref="C31:C32"/>
    <mergeCell ref="C100:C101"/>
    <mergeCell ref="C102:C103"/>
    <mergeCell ref="C104:C105"/>
    <mergeCell ref="J59:J60"/>
    <mergeCell ref="C61:C62"/>
    <mergeCell ref="C81:C91"/>
    <mergeCell ref="C93:C94"/>
    <mergeCell ref="D96:J96"/>
    <mergeCell ref="C120:C121"/>
    <mergeCell ref="D63:J63"/>
    <mergeCell ref="C65:C67"/>
    <mergeCell ref="C124:C126"/>
    <mergeCell ref="C127:C128"/>
    <mergeCell ref="C129:C136"/>
    <mergeCell ref="C165:C169"/>
    <mergeCell ref="C170:C171"/>
    <mergeCell ref="C108:C109"/>
    <mergeCell ref="C110:C111"/>
    <mergeCell ref="C138:C141"/>
    <mergeCell ref="C145:C146"/>
    <mergeCell ref="C149:C153"/>
    <mergeCell ref="C178:C179"/>
    <mergeCell ref="C180:C182"/>
    <mergeCell ref="C183:C186"/>
    <mergeCell ref="C187:C190"/>
    <mergeCell ref="D208:J208"/>
    <mergeCell ref="C211:C215"/>
    <mergeCell ref="C194:C196"/>
    <mergeCell ref="C197:C202"/>
    <mergeCell ref="C154:C155"/>
    <mergeCell ref="C157:C160"/>
    <mergeCell ref="C216:C217"/>
    <mergeCell ref="C218:C219"/>
    <mergeCell ref="C221:C222"/>
    <mergeCell ref="A220:B220"/>
    <mergeCell ref="A224:B224"/>
    <mergeCell ref="C205:C206"/>
    <mergeCell ref="C237:C241"/>
    <mergeCell ref="C243:C244"/>
    <mergeCell ref="C247:C248"/>
    <mergeCell ref="A210:B210"/>
    <mergeCell ref="C250:C251"/>
    <mergeCell ref="A249:B249"/>
    <mergeCell ref="C226:C227"/>
    <mergeCell ref="C229:C231"/>
    <mergeCell ref="C232:C235"/>
    <mergeCell ref="A228:B228"/>
    <mergeCell ref="A236:B236"/>
    <mergeCell ref="A258:J258"/>
    <mergeCell ref="C253:C254"/>
    <mergeCell ref="C256:C257"/>
    <mergeCell ref="D256:J257"/>
    <mergeCell ref="A255:B255"/>
    <mergeCell ref="A118:B118"/>
    <mergeCell ref="A34:B34"/>
    <mergeCell ref="A64:B64"/>
    <mergeCell ref="A78:B78"/>
    <mergeCell ref="A92:B92"/>
    <mergeCell ref="A97:B97"/>
    <mergeCell ref="A99:B99"/>
    <mergeCell ref="A112:B112"/>
    <mergeCell ref="A115:B115"/>
    <mergeCell ref="A122:B122"/>
    <mergeCell ref="A163:B163"/>
    <mergeCell ref="A173:B173"/>
    <mergeCell ref="A177:B177"/>
    <mergeCell ref="A175:B175"/>
    <mergeCell ref="A193:B193"/>
    <mergeCell ref="A191:B191"/>
    <mergeCell ref="A203:B203"/>
    <mergeCell ref="A207:B207"/>
  </mergeCells>
  <pageMargins left="0.2" right="0.2" top="0.62" bottom="0.38" header="0.34" footer="0.42"/>
  <pageSetup paperSize="9" orientation="landscape" verticalDpi="0" r:id="rId1"/>
  <headerFooter>
    <oddHeader>Page &amp;P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selection activeCell="C5" sqref="C5"/>
    </sheetView>
  </sheetViews>
  <sheetFormatPr defaultColWidth="8.25" defaultRowHeight="15.75"/>
  <cols>
    <col min="1" max="1" width="6.5" style="87" customWidth="1"/>
    <col min="2" max="2" width="47.875" style="43" customWidth="1"/>
    <col min="3" max="3" width="19.375" style="87" customWidth="1"/>
    <col min="4" max="4" width="11.125" style="87" customWidth="1"/>
    <col min="5" max="5" width="9.5" style="87" customWidth="1"/>
    <col min="6" max="6" width="13.5" style="87" customWidth="1"/>
    <col min="7" max="7" width="10.625" style="87" customWidth="1"/>
    <col min="8" max="8" width="8.875" style="87" customWidth="1"/>
    <col min="9" max="9" width="12.25" style="87" customWidth="1"/>
    <col min="10" max="11" width="11.5" style="87" customWidth="1"/>
    <col min="12" max="16384" width="8.25" style="87"/>
  </cols>
  <sheetData>
    <row r="1" spans="1:9" ht="27.75" customHeight="1">
      <c r="A1" s="405" t="s">
        <v>1347</v>
      </c>
      <c r="B1" s="405"/>
      <c r="C1" s="405"/>
      <c r="D1" s="405"/>
      <c r="E1" s="405"/>
      <c r="F1" s="405"/>
      <c r="G1" s="405"/>
      <c r="H1" s="405"/>
      <c r="I1" s="405"/>
    </row>
    <row r="2" spans="1:9" ht="33" customHeight="1">
      <c r="A2" s="406" t="str">
        <f>'B8 OCOP'!A2:J2</f>
        <v>(Kèm theo Báo cáo số 134-BC/TU, ngày 02/3/2026 của Ban Chấp hành Đảng bộ tỉnh)
-----</v>
      </c>
      <c r="B2" s="407"/>
      <c r="C2" s="407"/>
      <c r="D2" s="407"/>
      <c r="E2" s="407"/>
      <c r="F2" s="407"/>
      <c r="G2" s="407"/>
      <c r="H2" s="407"/>
      <c r="I2" s="407"/>
    </row>
    <row r="3" spans="1:9" ht="23.25" customHeight="1">
      <c r="A3" s="404" t="s">
        <v>0</v>
      </c>
      <c r="B3" s="404" t="s">
        <v>958</v>
      </c>
      <c r="C3" s="404" t="s">
        <v>293</v>
      </c>
      <c r="D3" s="404" t="s">
        <v>957</v>
      </c>
      <c r="E3" s="404"/>
      <c r="F3" s="404"/>
      <c r="G3" s="404"/>
      <c r="H3" s="404" t="s">
        <v>956</v>
      </c>
      <c r="I3" s="404"/>
    </row>
    <row r="4" spans="1:9" ht="78" customHeight="1">
      <c r="A4" s="404"/>
      <c r="B4" s="404"/>
      <c r="C4" s="404"/>
      <c r="D4" s="240" t="s">
        <v>955</v>
      </c>
      <c r="E4" s="240" t="s">
        <v>954</v>
      </c>
      <c r="F4" s="240" t="s">
        <v>953</v>
      </c>
      <c r="G4" s="240" t="s">
        <v>952</v>
      </c>
      <c r="H4" s="240" t="s">
        <v>951</v>
      </c>
      <c r="I4" s="240" t="s">
        <v>950</v>
      </c>
    </row>
    <row r="5" spans="1:9" s="239" customFormat="1" ht="21.75" customHeight="1">
      <c r="A5" s="241">
        <v>1</v>
      </c>
      <c r="B5" s="242" t="s">
        <v>949</v>
      </c>
      <c r="C5" s="241" t="s">
        <v>948</v>
      </c>
      <c r="D5" s="243" t="s">
        <v>926</v>
      </c>
      <c r="E5" s="243"/>
      <c r="F5" s="243"/>
      <c r="G5" s="243"/>
      <c r="H5" s="243"/>
      <c r="I5" s="243" t="s">
        <v>926</v>
      </c>
    </row>
    <row r="6" spans="1:9" ht="21.75" customHeight="1">
      <c r="A6" s="241">
        <v>2</v>
      </c>
      <c r="B6" s="242" t="s">
        <v>947</v>
      </c>
      <c r="C6" s="241" t="s">
        <v>948</v>
      </c>
      <c r="D6" s="243" t="s">
        <v>926</v>
      </c>
      <c r="E6" s="243"/>
      <c r="F6" s="243"/>
      <c r="G6" s="243"/>
      <c r="H6" s="243"/>
      <c r="I6" s="243" t="s">
        <v>926</v>
      </c>
    </row>
    <row r="7" spans="1:9" s="239" customFormat="1" ht="21.75" customHeight="1">
      <c r="A7" s="241">
        <v>3</v>
      </c>
      <c r="B7" s="244" t="s">
        <v>945</v>
      </c>
      <c r="C7" s="241" t="s">
        <v>948</v>
      </c>
      <c r="D7" s="243" t="s">
        <v>926</v>
      </c>
      <c r="E7" s="243"/>
      <c r="F7" s="243"/>
      <c r="G7" s="243"/>
      <c r="H7" s="243"/>
      <c r="I7" s="243" t="s">
        <v>926</v>
      </c>
    </row>
    <row r="8" spans="1:9" ht="21.75" customHeight="1">
      <c r="A8" s="241">
        <v>4</v>
      </c>
      <c r="B8" s="244" t="s">
        <v>1334</v>
      </c>
      <c r="C8" s="241" t="s">
        <v>948</v>
      </c>
      <c r="D8" s="243" t="s">
        <v>926</v>
      </c>
      <c r="E8" s="243"/>
      <c r="F8" s="243"/>
      <c r="G8" s="243"/>
      <c r="H8" s="243"/>
      <c r="I8" s="243" t="s">
        <v>926</v>
      </c>
    </row>
    <row r="9" spans="1:9" ht="21.75" customHeight="1">
      <c r="A9" s="241">
        <v>5</v>
      </c>
      <c r="B9" s="242" t="s">
        <v>1337</v>
      </c>
      <c r="C9" s="241" t="s">
        <v>948</v>
      </c>
      <c r="D9" s="243" t="s">
        <v>926</v>
      </c>
      <c r="E9" s="243"/>
      <c r="F9" s="243"/>
      <c r="G9" s="243"/>
      <c r="H9" s="243"/>
      <c r="I9" s="243" t="s">
        <v>926</v>
      </c>
    </row>
    <row r="10" spans="1:9" ht="21.75" customHeight="1">
      <c r="A10" s="241">
        <v>6</v>
      </c>
      <c r="B10" s="242" t="s">
        <v>1331</v>
      </c>
      <c r="C10" s="241" t="s">
        <v>948</v>
      </c>
      <c r="D10" s="243" t="s">
        <v>926</v>
      </c>
      <c r="E10" s="243"/>
      <c r="F10" s="243"/>
      <c r="G10" s="243"/>
      <c r="H10" s="243"/>
      <c r="I10" s="243" t="s">
        <v>926</v>
      </c>
    </row>
    <row r="11" spans="1:9" ht="21.75" customHeight="1">
      <c r="A11" s="241">
        <v>7</v>
      </c>
      <c r="B11" s="242" t="s">
        <v>1335</v>
      </c>
      <c r="C11" s="241" t="s">
        <v>948</v>
      </c>
      <c r="D11" s="243" t="s">
        <v>926</v>
      </c>
      <c r="E11" s="243"/>
      <c r="F11" s="243"/>
      <c r="G11" s="243"/>
      <c r="H11" s="243"/>
      <c r="I11" s="243" t="s">
        <v>926</v>
      </c>
    </row>
    <row r="12" spans="1:9" s="239" customFormat="1" ht="21.75" customHeight="1">
      <c r="A12" s="241">
        <v>8</v>
      </c>
      <c r="B12" s="245" t="s">
        <v>1308</v>
      </c>
      <c r="C12" s="241" t="s">
        <v>288</v>
      </c>
      <c r="D12" s="243" t="s">
        <v>926</v>
      </c>
      <c r="E12" s="243"/>
      <c r="F12" s="243"/>
      <c r="G12" s="243"/>
      <c r="H12" s="243"/>
      <c r="I12" s="243" t="s">
        <v>926</v>
      </c>
    </row>
    <row r="13" spans="1:9" ht="21.75" customHeight="1">
      <c r="A13" s="241">
        <v>9</v>
      </c>
      <c r="B13" s="245" t="s">
        <v>1332</v>
      </c>
      <c r="C13" s="241" t="s">
        <v>288</v>
      </c>
      <c r="D13" s="243" t="s">
        <v>926</v>
      </c>
      <c r="E13" s="243"/>
      <c r="F13" s="243"/>
      <c r="G13" s="243"/>
      <c r="H13" s="243"/>
      <c r="I13" s="243" t="s">
        <v>926</v>
      </c>
    </row>
    <row r="14" spans="1:9" ht="21.75" customHeight="1">
      <c r="A14" s="241">
        <v>10</v>
      </c>
      <c r="B14" s="245" t="s">
        <v>1333</v>
      </c>
      <c r="C14" s="241" t="s">
        <v>288</v>
      </c>
      <c r="D14" s="243" t="s">
        <v>926</v>
      </c>
      <c r="E14" s="243"/>
      <c r="F14" s="243"/>
      <c r="G14" s="243"/>
      <c r="H14" s="243"/>
      <c r="I14" s="243" t="s">
        <v>926</v>
      </c>
    </row>
    <row r="15" spans="1:9" ht="21.75" customHeight="1">
      <c r="A15" s="241">
        <v>11</v>
      </c>
      <c r="B15" s="245" t="s">
        <v>1307</v>
      </c>
      <c r="C15" s="241" t="s">
        <v>944</v>
      </c>
      <c r="D15" s="243" t="s">
        <v>926</v>
      </c>
      <c r="E15" s="243"/>
      <c r="F15" s="243"/>
      <c r="G15" s="243"/>
      <c r="H15" s="243"/>
      <c r="I15" s="243" t="s">
        <v>926</v>
      </c>
    </row>
    <row r="16" spans="1:9" ht="21.75" customHeight="1">
      <c r="A16" s="241">
        <v>12</v>
      </c>
      <c r="B16" s="245" t="s">
        <v>1306</v>
      </c>
      <c r="C16" s="241" t="s">
        <v>944</v>
      </c>
      <c r="D16" s="243" t="s">
        <v>926</v>
      </c>
      <c r="E16" s="243"/>
      <c r="F16" s="243"/>
      <c r="G16" s="243"/>
      <c r="H16" s="243"/>
      <c r="I16" s="243" t="s">
        <v>926</v>
      </c>
    </row>
    <row r="17" spans="1:9" ht="21.75" customHeight="1">
      <c r="A17" s="241">
        <v>13</v>
      </c>
      <c r="B17" s="245" t="s">
        <v>1305</v>
      </c>
      <c r="C17" s="241" t="s">
        <v>944</v>
      </c>
      <c r="D17" s="243" t="s">
        <v>926</v>
      </c>
      <c r="E17" s="243"/>
      <c r="F17" s="243"/>
      <c r="G17" s="243"/>
      <c r="H17" s="243"/>
      <c r="I17" s="243" t="s">
        <v>926</v>
      </c>
    </row>
    <row r="18" spans="1:9" ht="21.75" customHeight="1">
      <c r="A18" s="241">
        <v>14</v>
      </c>
      <c r="B18" s="245" t="s">
        <v>1304</v>
      </c>
      <c r="C18" s="241" t="s">
        <v>944</v>
      </c>
      <c r="D18" s="243" t="s">
        <v>926</v>
      </c>
      <c r="E18" s="243"/>
      <c r="F18" s="243"/>
      <c r="G18" s="243"/>
      <c r="H18" s="243"/>
      <c r="I18" s="243" t="s">
        <v>926</v>
      </c>
    </row>
    <row r="19" spans="1:9" ht="21.75" customHeight="1">
      <c r="A19" s="241">
        <v>15</v>
      </c>
      <c r="B19" s="245" t="s">
        <v>1303</v>
      </c>
      <c r="C19" s="241" t="s">
        <v>944</v>
      </c>
      <c r="D19" s="243" t="s">
        <v>926</v>
      </c>
      <c r="E19" s="243"/>
      <c r="F19" s="243"/>
      <c r="G19" s="243"/>
      <c r="H19" s="243"/>
      <c r="I19" s="243" t="s">
        <v>926</v>
      </c>
    </row>
    <row r="20" spans="1:9" ht="21.75" customHeight="1">
      <c r="A20" s="241">
        <v>16</v>
      </c>
      <c r="B20" s="245" t="s">
        <v>1302</v>
      </c>
      <c r="C20" s="241" t="s">
        <v>944</v>
      </c>
      <c r="D20" s="243" t="s">
        <v>926</v>
      </c>
      <c r="E20" s="246"/>
      <c r="F20" s="247"/>
      <c r="G20" s="247"/>
      <c r="H20" s="247"/>
      <c r="I20" s="243" t="s">
        <v>926</v>
      </c>
    </row>
    <row r="21" spans="1:9" ht="21.75" customHeight="1">
      <c r="A21" s="241">
        <v>17</v>
      </c>
      <c r="B21" s="245" t="s">
        <v>1301</v>
      </c>
      <c r="C21" s="241" t="s">
        <v>941</v>
      </c>
      <c r="D21" s="243" t="s">
        <v>926</v>
      </c>
      <c r="E21" s="246"/>
      <c r="F21" s="246"/>
      <c r="G21" s="246"/>
      <c r="H21" s="246" t="s">
        <v>926</v>
      </c>
      <c r="I21" s="243"/>
    </row>
    <row r="22" spans="1:9" ht="21.75" customHeight="1">
      <c r="A22" s="241">
        <v>18</v>
      </c>
      <c r="B22" s="245" t="s">
        <v>1300</v>
      </c>
      <c r="C22" s="241" t="s">
        <v>941</v>
      </c>
      <c r="D22" s="243" t="s">
        <v>926</v>
      </c>
      <c r="E22" s="243"/>
      <c r="F22" s="243"/>
      <c r="G22" s="243"/>
      <c r="H22" s="243"/>
      <c r="I22" s="243" t="s">
        <v>926</v>
      </c>
    </row>
    <row r="23" spans="1:9" ht="21.75" customHeight="1">
      <c r="A23" s="241">
        <v>19</v>
      </c>
      <c r="B23" s="245" t="s">
        <v>1336</v>
      </c>
      <c r="C23" s="241" t="s">
        <v>941</v>
      </c>
      <c r="D23" s="243" t="s">
        <v>926</v>
      </c>
      <c r="E23" s="243"/>
      <c r="F23" s="243"/>
      <c r="G23" s="243"/>
      <c r="H23" s="243" t="s">
        <v>926</v>
      </c>
      <c r="I23" s="243"/>
    </row>
    <row r="24" spans="1:9" s="239" customFormat="1" ht="21.75" customHeight="1">
      <c r="A24" s="241">
        <v>20</v>
      </c>
      <c r="B24" s="245" t="s">
        <v>1299</v>
      </c>
      <c r="C24" s="241" t="s">
        <v>941</v>
      </c>
      <c r="D24" s="243" t="s">
        <v>926</v>
      </c>
      <c r="E24" s="243"/>
      <c r="F24" s="243"/>
      <c r="G24" s="243"/>
      <c r="H24" s="243"/>
      <c r="I24" s="243" t="s">
        <v>926</v>
      </c>
    </row>
    <row r="25" spans="1:9" ht="21.75" customHeight="1">
      <c r="A25" s="241">
        <v>21</v>
      </c>
      <c r="B25" s="245" t="s">
        <v>943</v>
      </c>
      <c r="C25" s="241" t="s">
        <v>941</v>
      </c>
      <c r="D25" s="243" t="s">
        <v>926</v>
      </c>
      <c r="E25" s="248"/>
      <c r="F25" s="248"/>
      <c r="G25" s="248"/>
      <c r="H25" s="248"/>
      <c r="I25" s="243" t="s">
        <v>926</v>
      </c>
    </row>
    <row r="26" spans="1:9" ht="21.75" customHeight="1">
      <c r="A26" s="241">
        <v>22</v>
      </c>
      <c r="B26" s="245" t="s">
        <v>942</v>
      </c>
      <c r="C26" s="241" t="s">
        <v>941</v>
      </c>
      <c r="D26" s="243" t="s">
        <v>926</v>
      </c>
      <c r="E26" s="248"/>
      <c r="F26" s="248"/>
      <c r="G26" s="248"/>
      <c r="H26" s="248"/>
      <c r="I26" s="248" t="s">
        <v>926</v>
      </c>
    </row>
    <row r="27" spans="1:9" s="239" customFormat="1" ht="21.75" customHeight="1">
      <c r="A27" s="241">
        <v>23</v>
      </c>
      <c r="B27" s="245" t="s">
        <v>1298</v>
      </c>
      <c r="C27" s="241" t="s">
        <v>941</v>
      </c>
      <c r="D27" s="243" t="s">
        <v>926</v>
      </c>
      <c r="E27" s="246"/>
      <c r="F27" s="243"/>
      <c r="G27" s="243"/>
      <c r="H27" s="243"/>
      <c r="I27" s="243" t="s">
        <v>926</v>
      </c>
    </row>
    <row r="28" spans="1:9" s="239" customFormat="1" ht="21.75" customHeight="1">
      <c r="A28" s="241">
        <v>24</v>
      </c>
      <c r="B28" s="245" t="s">
        <v>1297</v>
      </c>
      <c r="C28" s="241" t="s">
        <v>941</v>
      </c>
      <c r="D28" s="243" t="s">
        <v>926</v>
      </c>
      <c r="E28" s="243"/>
      <c r="F28" s="243"/>
      <c r="G28" s="243"/>
      <c r="H28" s="243"/>
      <c r="I28" s="243" t="s">
        <v>926</v>
      </c>
    </row>
    <row r="29" spans="1:9" s="239" customFormat="1" ht="21.75" customHeight="1">
      <c r="A29" s="241">
        <v>25</v>
      </c>
      <c r="B29" s="245" t="s">
        <v>1296</v>
      </c>
      <c r="C29" s="241" t="s">
        <v>939</v>
      </c>
      <c r="D29" s="243" t="s">
        <v>926</v>
      </c>
      <c r="E29" s="243"/>
      <c r="F29" s="243"/>
      <c r="G29" s="243"/>
      <c r="H29" s="243"/>
      <c r="I29" s="243" t="s">
        <v>926</v>
      </c>
    </row>
    <row r="30" spans="1:9" s="239" customFormat="1" ht="21.75" customHeight="1">
      <c r="A30" s="241">
        <v>26</v>
      </c>
      <c r="B30" s="245" t="s">
        <v>940</v>
      </c>
      <c r="C30" s="241" t="s">
        <v>939</v>
      </c>
      <c r="D30" s="243" t="s">
        <v>926</v>
      </c>
      <c r="E30" s="243"/>
      <c r="F30" s="243"/>
      <c r="G30" s="243"/>
      <c r="H30" s="243"/>
      <c r="I30" s="243" t="s">
        <v>926</v>
      </c>
    </row>
    <row r="31" spans="1:9" s="239" customFormat="1" ht="21.75" customHeight="1">
      <c r="A31" s="241">
        <v>27</v>
      </c>
      <c r="B31" s="245" t="s">
        <v>1295</v>
      </c>
      <c r="C31" s="241" t="s">
        <v>939</v>
      </c>
      <c r="D31" s="243" t="s">
        <v>926</v>
      </c>
      <c r="E31" s="243"/>
      <c r="F31" s="243"/>
      <c r="G31" s="243"/>
      <c r="H31" s="243"/>
      <c r="I31" s="243" t="s">
        <v>926</v>
      </c>
    </row>
    <row r="32" spans="1:9" s="239" customFormat="1" ht="21.75" customHeight="1">
      <c r="A32" s="241">
        <v>28</v>
      </c>
      <c r="B32" s="245" t="s">
        <v>1294</v>
      </c>
      <c r="C32" s="241" t="s">
        <v>939</v>
      </c>
      <c r="D32" s="243" t="s">
        <v>926</v>
      </c>
      <c r="E32" s="243"/>
      <c r="F32" s="243"/>
      <c r="G32" s="243"/>
      <c r="H32" s="243"/>
      <c r="I32" s="243" t="s">
        <v>926</v>
      </c>
    </row>
    <row r="33" spans="1:9" ht="21.75" customHeight="1">
      <c r="A33" s="241">
        <v>29</v>
      </c>
      <c r="B33" s="245" t="s">
        <v>1328</v>
      </c>
      <c r="C33" s="241" t="s">
        <v>939</v>
      </c>
      <c r="D33" s="243" t="s">
        <v>926</v>
      </c>
      <c r="E33" s="243"/>
      <c r="F33" s="243"/>
      <c r="G33" s="243"/>
      <c r="H33" s="243"/>
      <c r="I33" s="243" t="s">
        <v>926</v>
      </c>
    </row>
    <row r="34" spans="1:9" ht="21.75" customHeight="1">
      <c r="A34" s="241">
        <v>30</v>
      </c>
      <c r="B34" s="245" t="s">
        <v>1329</v>
      </c>
      <c r="C34" s="241" t="s">
        <v>939</v>
      </c>
      <c r="D34" s="243" t="s">
        <v>926</v>
      </c>
      <c r="E34" s="243"/>
      <c r="F34" s="243"/>
      <c r="G34" s="243"/>
      <c r="H34" s="243"/>
      <c r="I34" s="243" t="s">
        <v>926</v>
      </c>
    </row>
    <row r="35" spans="1:9" ht="21.75" customHeight="1">
      <c r="A35" s="241">
        <v>31</v>
      </c>
      <c r="B35" s="245" t="s">
        <v>1330</v>
      </c>
      <c r="C35" s="241" t="s">
        <v>939</v>
      </c>
      <c r="D35" s="243" t="s">
        <v>926</v>
      </c>
      <c r="E35" s="243"/>
      <c r="F35" s="243"/>
      <c r="G35" s="243"/>
      <c r="H35" s="243"/>
      <c r="I35" s="243" t="s">
        <v>926</v>
      </c>
    </row>
    <row r="36" spans="1:9" s="239" customFormat="1" ht="21.75" customHeight="1">
      <c r="A36" s="241">
        <v>32</v>
      </c>
      <c r="B36" s="245" t="s">
        <v>1293</v>
      </c>
      <c r="C36" s="241" t="s">
        <v>938</v>
      </c>
      <c r="D36" s="243" t="s">
        <v>926</v>
      </c>
      <c r="E36" s="243"/>
      <c r="F36" s="243"/>
      <c r="G36" s="243"/>
      <c r="H36" s="243"/>
      <c r="I36" s="243" t="s">
        <v>926</v>
      </c>
    </row>
    <row r="37" spans="1:9" s="239" customFormat="1" ht="21.75" customHeight="1">
      <c r="A37" s="241">
        <v>33</v>
      </c>
      <c r="B37" s="245" t="s">
        <v>1292</v>
      </c>
      <c r="C37" s="241" t="s">
        <v>938</v>
      </c>
      <c r="D37" s="243" t="s">
        <v>926</v>
      </c>
      <c r="E37" s="243"/>
      <c r="F37" s="243"/>
      <c r="G37" s="243"/>
      <c r="H37" s="243"/>
      <c r="I37" s="243" t="s">
        <v>926</v>
      </c>
    </row>
    <row r="38" spans="1:9" ht="21.75" customHeight="1">
      <c r="A38" s="241">
        <v>34</v>
      </c>
      <c r="B38" s="245" t="s">
        <v>1327</v>
      </c>
      <c r="C38" s="241" t="s">
        <v>1291</v>
      </c>
      <c r="D38" s="243" t="s">
        <v>926</v>
      </c>
      <c r="E38" s="243"/>
      <c r="F38" s="243"/>
      <c r="G38" s="243"/>
      <c r="H38" s="243"/>
      <c r="I38" s="243" t="s">
        <v>926</v>
      </c>
    </row>
    <row r="39" spans="1:9" ht="21.75" customHeight="1">
      <c r="A39" s="241">
        <v>35</v>
      </c>
      <c r="B39" s="245" t="s">
        <v>937</v>
      </c>
      <c r="C39" s="241" t="s">
        <v>936</v>
      </c>
      <c r="D39" s="243" t="s">
        <v>926</v>
      </c>
      <c r="E39" s="243"/>
      <c r="F39" s="243"/>
      <c r="G39" s="243"/>
      <c r="H39" s="243"/>
      <c r="I39" s="243" t="s">
        <v>926</v>
      </c>
    </row>
    <row r="40" spans="1:9" ht="21.75" customHeight="1">
      <c r="A40" s="241">
        <v>36</v>
      </c>
      <c r="B40" s="245" t="s">
        <v>1326</v>
      </c>
      <c r="C40" s="241" t="s">
        <v>936</v>
      </c>
      <c r="D40" s="243" t="s">
        <v>926</v>
      </c>
      <c r="E40" s="243"/>
      <c r="F40" s="243"/>
      <c r="G40" s="243"/>
      <c r="H40" s="243"/>
      <c r="I40" s="248" t="s">
        <v>926</v>
      </c>
    </row>
    <row r="41" spans="1:9" ht="21.75" customHeight="1">
      <c r="A41" s="241">
        <v>37</v>
      </c>
      <c r="B41" s="249" t="s">
        <v>935</v>
      </c>
      <c r="C41" s="241" t="s">
        <v>934</v>
      </c>
      <c r="D41" s="243" t="s">
        <v>926</v>
      </c>
      <c r="E41" s="243"/>
      <c r="F41" s="243"/>
      <c r="G41" s="243"/>
      <c r="H41" s="243"/>
      <c r="I41" s="248" t="s">
        <v>926</v>
      </c>
    </row>
    <row r="42" spans="1:9" s="239" customFormat="1" ht="21.75" customHeight="1">
      <c r="A42" s="241">
        <v>38</v>
      </c>
      <c r="B42" s="245" t="s">
        <v>1325</v>
      </c>
      <c r="C42" s="241" t="s">
        <v>932</v>
      </c>
      <c r="D42" s="243" t="s">
        <v>926</v>
      </c>
      <c r="E42" s="243"/>
      <c r="F42" s="243"/>
      <c r="G42" s="243"/>
      <c r="H42" s="243" t="s">
        <v>926</v>
      </c>
      <c r="I42" s="243"/>
    </row>
    <row r="43" spans="1:9" ht="21.75" customHeight="1">
      <c r="A43" s="241">
        <v>39</v>
      </c>
      <c r="B43" s="245" t="s">
        <v>1290</v>
      </c>
      <c r="C43" s="250" t="s">
        <v>1289</v>
      </c>
      <c r="D43" s="243" t="s">
        <v>926</v>
      </c>
      <c r="E43" s="243"/>
      <c r="F43" s="243"/>
      <c r="G43" s="243"/>
      <c r="H43" s="243"/>
      <c r="I43" s="248" t="s">
        <v>926</v>
      </c>
    </row>
    <row r="44" spans="1:9" ht="21.75" customHeight="1">
      <c r="A44" s="241">
        <v>40</v>
      </c>
      <c r="B44" s="242" t="s">
        <v>929</v>
      </c>
      <c r="C44" s="241" t="s">
        <v>928</v>
      </c>
      <c r="D44" s="243" t="s">
        <v>926</v>
      </c>
      <c r="E44" s="248"/>
      <c r="F44" s="248"/>
      <c r="G44" s="248"/>
      <c r="H44" s="248"/>
      <c r="I44" s="248" t="s">
        <v>926</v>
      </c>
    </row>
    <row r="45" spans="1:9" s="239" customFormat="1" ht="39.75" customHeight="1">
      <c r="A45" s="241">
        <v>41</v>
      </c>
      <c r="B45" s="242" t="s">
        <v>1338</v>
      </c>
      <c r="C45" s="241" t="s">
        <v>1310</v>
      </c>
      <c r="D45" s="243" t="s">
        <v>926</v>
      </c>
      <c r="E45" s="248"/>
      <c r="F45" s="248"/>
      <c r="G45" s="248"/>
      <c r="H45" s="248" t="s">
        <v>926</v>
      </c>
      <c r="I45" s="248"/>
    </row>
    <row r="46" spans="1:9" ht="26.1" customHeight="1">
      <c r="A46" s="404" t="s">
        <v>1270</v>
      </c>
      <c r="B46" s="404"/>
      <c r="C46" s="251"/>
      <c r="D46" s="251">
        <v>41</v>
      </c>
      <c r="E46" s="251">
        <v>0</v>
      </c>
      <c r="F46" s="251">
        <v>0</v>
      </c>
      <c r="G46" s="251">
        <v>0</v>
      </c>
      <c r="H46" s="251">
        <v>4</v>
      </c>
      <c r="I46" s="251">
        <v>37</v>
      </c>
    </row>
    <row r="48" spans="1:9">
      <c r="F48" s="88"/>
    </row>
  </sheetData>
  <mergeCells count="8">
    <mergeCell ref="A46:B46"/>
    <mergeCell ref="A1:I1"/>
    <mergeCell ref="A3:A4"/>
    <mergeCell ref="B3:B4"/>
    <mergeCell ref="C3:C4"/>
    <mergeCell ref="D3:G3"/>
    <mergeCell ref="H3:I3"/>
    <mergeCell ref="A2:I2"/>
  </mergeCells>
  <printOptions horizontalCentered="1"/>
  <pageMargins left="0" right="0" top="0.35433070866141736" bottom="0.23622047244094491"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B2 tổng</vt:lpstr>
      <vt:lpstr>B3 chi tiết</vt:lpstr>
      <vt:lpstr>B4 Vốn</vt:lpstr>
      <vt:lpstr>B5 Dự án liên kết</vt:lpstr>
      <vt:lpstr>B6 thực hiện XHX</vt:lpstr>
      <vt:lpstr>Các dự án được chấp thuận CTĐT</vt:lpstr>
      <vt:lpstr>B8 OCOP</vt:lpstr>
      <vt:lpstr>B9 Cơ sở chế biến</vt:lpstr>
      <vt:lpstr>'B2 tổng'!Print_Area</vt:lpstr>
      <vt:lpstr>'B3 chi tiết'!Print_Area</vt:lpstr>
      <vt:lpstr>'B4 Vốn'!Print_Area</vt:lpstr>
      <vt:lpstr>'B5 Dự án liên kết'!Print_Area</vt:lpstr>
      <vt:lpstr>'B6 thực hiện XHX'!Print_Area</vt:lpstr>
      <vt:lpstr>'B8 OCOP'!Print_Area</vt:lpstr>
      <vt:lpstr>'B9 Cơ sở chế biến'!Print_Area</vt:lpstr>
      <vt:lpstr>'Các dự án được chấp thuận CTĐT'!Print_Area</vt:lpstr>
      <vt:lpstr>'B2 tổng'!Print_Titles</vt:lpstr>
      <vt:lpstr>'B3 chi tiết'!Print_Titles</vt:lpstr>
      <vt:lpstr>'B4 Vốn'!Print_Titles</vt:lpstr>
      <vt:lpstr>'B5 Dự án liên kết'!Print_Titles</vt:lpstr>
      <vt:lpstr>'B6 thực hiện XHX'!Print_Titles</vt:lpstr>
      <vt:lpstr>'B9 Cơ sở chế biến'!Print_Titles</vt:lpstr>
      <vt:lpstr>'Các dự án được chấp thuận CTĐT'!Print_Titles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2025-12-18T13:08:15Z</cp:lastPrinted>
  <dcterms:created xsi:type="dcterms:W3CDTF">2022-11-16T03:11:05Z</dcterms:created>
  <dcterms:modified xsi:type="dcterms:W3CDTF">2026-03-03T04:11:37Z</dcterms:modified>
</cp:coreProperties>
</file>